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0" yWindow="0" windowWidth="25560" windowHeight="14360" tabRatio="500"/>
  </bookViews>
  <sheets>
    <sheet name="Summary sheet" sheetId="2" r:id="rId1"/>
    <sheet name="1 Longevity" sheetId="8" r:id="rId2"/>
    <sheet name="2 Saving Money" sheetId="3" r:id="rId3"/>
    <sheet name="3 Malnutrition" sheetId="5" r:id="rId4"/>
    <sheet name="4 Cows" sheetId="9" r:id="rId5"/>
    <sheet name="5 Chickens" sheetId="10" r:id="rId6"/>
    <sheet name="6  Fish" sheetId="6" r:id="rId7"/>
    <sheet name="7 Forest" sheetId="4" r:id="rId8"/>
    <sheet name="8 Greenhouse" sheetId="7" r:id="rId9"/>
    <sheet name="9 water" sheetId="1" r:id="rId10"/>
    <sheet name="10 Marine reserve" sheetId="11" r:id="rId1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2" l="1"/>
  <c r="D16" i="2"/>
  <c r="D15" i="2"/>
  <c r="D13" i="2"/>
  <c r="D12" i="2"/>
  <c r="D11" i="2"/>
  <c r="D10" i="2"/>
  <c r="D9" i="2"/>
  <c r="D8" i="2"/>
  <c r="D7" i="2"/>
  <c r="D6" i="2"/>
  <c r="D5" i="2"/>
  <c r="C29" i="2"/>
  <c r="C28" i="2"/>
  <c r="G15" i="1"/>
  <c r="C27" i="2"/>
  <c r="C24" i="2"/>
  <c r="D10" i="11"/>
  <c r="E10" i="11"/>
  <c r="F15" i="1"/>
  <c r="C13" i="7"/>
  <c r="H35" i="4"/>
  <c r="H26" i="4"/>
  <c r="H12" i="5"/>
  <c r="H9" i="5"/>
  <c r="D20" i="3"/>
  <c r="D19" i="8"/>
  <c r="D15" i="8"/>
  <c r="F16" i="1"/>
  <c r="F17" i="1"/>
  <c r="F18" i="1"/>
  <c r="E20" i="1"/>
  <c r="C20" i="1"/>
  <c r="F20" i="1"/>
  <c r="G20" i="1"/>
  <c r="G10" i="11"/>
  <c r="G12" i="2"/>
  <c r="F13" i="7"/>
  <c r="F15" i="7"/>
  <c r="F23" i="7"/>
  <c r="G23" i="7"/>
  <c r="C26" i="2"/>
  <c r="G6" i="2"/>
  <c r="C25" i="2"/>
  <c r="C23" i="2"/>
  <c r="C22" i="2"/>
  <c r="C21" i="2"/>
  <c r="I20" i="1"/>
  <c r="C10" i="10"/>
  <c r="C7" i="10"/>
  <c r="C12" i="10"/>
  <c r="B12" i="9"/>
  <c r="B10" i="9"/>
  <c r="B7" i="9"/>
  <c r="B8" i="8"/>
  <c r="B11" i="8"/>
  <c r="D11" i="8"/>
  <c r="E19" i="8"/>
  <c r="E64" i="5"/>
  <c r="H15" i="5"/>
  <c r="D12" i="5"/>
  <c r="D15" i="5"/>
  <c r="D9" i="5"/>
  <c r="E23" i="7"/>
  <c r="F10" i="7"/>
  <c r="F9" i="7"/>
  <c r="F8" i="7"/>
  <c r="F7" i="7"/>
  <c r="F6" i="7"/>
  <c r="G27" i="4"/>
  <c r="G26" i="4"/>
  <c r="F26" i="4"/>
  <c r="E13" i="7"/>
  <c r="E10" i="7"/>
  <c r="E9" i="7"/>
  <c r="E8" i="7"/>
  <c r="E7" i="7"/>
  <c r="E6" i="7"/>
  <c r="H32" i="4"/>
  <c r="G32" i="4"/>
  <c r="F32" i="4"/>
  <c r="C32" i="4"/>
  <c r="F29" i="4"/>
  <c r="E51" i="5"/>
  <c r="F28" i="4"/>
  <c r="F27" i="4"/>
  <c r="I26" i="4"/>
  <c r="J26" i="4"/>
  <c r="L35" i="4"/>
  <c r="G29" i="4"/>
  <c r="H29" i="4"/>
  <c r="H27" i="4"/>
  <c r="G28" i="4"/>
  <c r="H28" i="4"/>
  <c r="L26" i="4"/>
  <c r="L27" i="4"/>
  <c r="L28" i="4"/>
  <c r="L29" i="4"/>
  <c r="M26" i="4"/>
  <c r="R26" i="4"/>
  <c r="S26" i="4"/>
  <c r="M27" i="4"/>
  <c r="R27" i="4"/>
  <c r="S27" i="4"/>
  <c r="M28" i="4"/>
  <c r="R28" i="4"/>
  <c r="S28" i="4"/>
  <c r="M29" i="4"/>
  <c r="R29" i="4"/>
  <c r="S29" i="4"/>
  <c r="K35" i="4"/>
  <c r="Q35" i="4"/>
  <c r="R35" i="4"/>
  <c r="G37" i="4"/>
  <c r="B35" i="6"/>
  <c r="C31" i="6"/>
  <c r="C24" i="6"/>
  <c r="E24" i="6"/>
  <c r="C16" i="6"/>
  <c r="B16" i="6"/>
  <c r="D12" i="6"/>
  <c r="C12" i="6"/>
  <c r="D8" i="6"/>
  <c r="D6" i="6"/>
  <c r="D5" i="6"/>
  <c r="D4" i="6"/>
  <c r="B51" i="5"/>
  <c r="D41" i="5"/>
  <c r="B41" i="5"/>
  <c r="C41" i="5"/>
  <c r="E31" i="5"/>
  <c r="E26" i="5"/>
  <c r="E27" i="5"/>
  <c r="E28" i="5"/>
  <c r="E29" i="5"/>
  <c r="C31" i="5"/>
  <c r="E41" i="5"/>
  <c r="D51" i="5"/>
  <c r="C19" i="4"/>
  <c r="D19" i="4"/>
  <c r="F14" i="4"/>
  <c r="D14" i="4"/>
  <c r="L8" i="4"/>
  <c r="F8" i="4"/>
  <c r="G8" i="4"/>
  <c r="M8" i="4"/>
  <c r="N8" i="4"/>
  <c r="P8" i="4"/>
  <c r="Q8" i="4"/>
  <c r="D16" i="3"/>
  <c r="D15" i="3"/>
  <c r="B7" i="3"/>
  <c r="D7" i="3"/>
  <c r="C7" i="3"/>
  <c r="D9" i="1"/>
  <c r="E9" i="1"/>
  <c r="F9" i="1"/>
  <c r="H9" i="1"/>
</calcChain>
</file>

<file path=xl/sharedStrings.xml><?xml version="1.0" encoding="utf-8"?>
<sst xmlns="http://schemas.openxmlformats.org/spreadsheetml/2006/main" count="361" uniqueCount="267">
  <si>
    <t>kg</t>
  </si>
  <si>
    <t>Area of forest</t>
  </si>
  <si>
    <t>beef</t>
  </si>
  <si>
    <t>Pork</t>
  </si>
  <si>
    <t>Chicken</t>
  </si>
  <si>
    <t>Lamb</t>
  </si>
  <si>
    <t>kg/cap/day</t>
  </si>
  <si>
    <t>Ecological footprint</t>
  </si>
  <si>
    <t>ha/kg</t>
  </si>
  <si>
    <t xml:space="preserve">Multiplied by </t>
  </si>
  <si>
    <t>Ha/cap/day</t>
  </si>
  <si>
    <t>Total</t>
  </si>
  <si>
    <t>m2/cap/day</t>
  </si>
  <si>
    <t>How many days to save a hectare of forest</t>
  </si>
  <si>
    <t>Fish</t>
  </si>
  <si>
    <t>Ecological footprints</t>
  </si>
  <si>
    <t>km</t>
  </si>
  <si>
    <t>of greenhouse gases component</t>
  </si>
  <si>
    <r>
      <t xml:space="preserve">Smil, V., 2000, </t>
    </r>
    <r>
      <rPr>
        <sz val="10"/>
        <color rgb="FFFF0000"/>
        <rFont val="Times New Roman"/>
      </rPr>
      <t>All,</t>
    </r>
    <r>
      <rPr>
        <sz val="10"/>
        <color theme="1"/>
        <rFont val="Times New Roman"/>
      </rPr>
      <t xml:space="preserve"> </t>
    </r>
    <r>
      <rPr>
        <i/>
        <sz val="10"/>
        <color theme="1"/>
        <rFont val="Times New Roman"/>
      </rPr>
      <t>Feeding the World</t>
    </r>
    <r>
      <rPr>
        <sz val="10"/>
        <color theme="1"/>
        <rFont val="Times New Roman"/>
      </rPr>
      <t>, MIT Press, Cambridge, USA</t>
    </r>
  </si>
  <si>
    <t xml:space="preserve">Area of Forest </t>
  </si>
  <si>
    <t>Area per kilo</t>
  </si>
  <si>
    <t>m2/kg</t>
  </si>
  <si>
    <t xml:space="preserve">Water </t>
  </si>
  <si>
    <t>Vegetarian</t>
  </si>
  <si>
    <t>Rich country meat</t>
  </si>
  <si>
    <t>m3/yr/cap</t>
  </si>
  <si>
    <t>900-1200</t>
  </si>
  <si>
    <t>Well over 2000'</t>
  </si>
  <si>
    <t>Difference</t>
  </si>
  <si>
    <t>m3/day/cap</t>
  </si>
  <si>
    <t>litres/day/cap</t>
  </si>
  <si>
    <t>http://www.conserveh2o.org/toilet-water-use</t>
  </si>
  <si>
    <t>litres per flush</t>
  </si>
  <si>
    <t>Number of flushes if you don't eat meat</t>
  </si>
  <si>
    <r>
      <t xml:space="preserve">Smil, V., 2000, </t>
    </r>
    <r>
      <rPr>
        <sz val="10"/>
        <color rgb="FFFF0000"/>
        <rFont val="Times New Roman"/>
      </rPr>
      <t>All,</t>
    </r>
    <r>
      <rPr>
        <sz val="10"/>
        <color theme="1"/>
        <rFont val="Times New Roman"/>
      </rPr>
      <t xml:space="preserve"> </t>
    </r>
    <r>
      <rPr>
        <i/>
        <sz val="10"/>
        <color theme="1"/>
        <rFont val="Times New Roman"/>
      </rPr>
      <t>Feeding the World</t>
    </r>
    <r>
      <rPr>
        <sz val="10"/>
        <color theme="1"/>
        <rFont val="Times New Roman"/>
      </rPr>
      <t>, MIT Press, Cambridge, USA, p43</t>
    </r>
  </si>
  <si>
    <t>litre/kg</t>
  </si>
  <si>
    <t>Water footprint</t>
  </si>
  <si>
    <t>http://waterfootprint.org/en/water-footprint/product-water-footprint/water-footprint-crop-and-animal-products/</t>
  </si>
  <si>
    <t>m3/ton</t>
  </si>
  <si>
    <t>litre/day.cap</t>
  </si>
  <si>
    <t>total</t>
  </si>
  <si>
    <t>Total flushes</t>
  </si>
  <si>
    <t>Pulses</t>
  </si>
  <si>
    <t xml:space="preserve">amount of </t>
  </si>
  <si>
    <t>grain per</t>
  </si>
  <si>
    <t>Edible weight EW</t>
  </si>
  <si>
    <r>
      <t xml:space="preserve">Smil, V., 2000, </t>
    </r>
    <r>
      <rPr>
        <sz val="10"/>
        <color rgb="FFFF0000"/>
        <rFont val="Times New Roman"/>
      </rPr>
      <t>All,</t>
    </r>
    <r>
      <rPr>
        <sz val="10"/>
        <color theme="1"/>
        <rFont val="Times New Roman"/>
      </rPr>
      <t xml:space="preserve"> </t>
    </r>
    <r>
      <rPr>
        <i/>
        <sz val="10"/>
        <color theme="1"/>
        <rFont val="Times New Roman"/>
      </rPr>
      <t>Feeding the World</t>
    </r>
    <r>
      <rPr>
        <sz val="10"/>
        <color theme="1"/>
        <rFont val="Times New Roman"/>
      </rPr>
      <t>, MIT Press, Cambridge, USA, p157</t>
    </r>
  </si>
  <si>
    <t>total feed</t>
  </si>
  <si>
    <t>Note we delete the pulses off</t>
  </si>
  <si>
    <t>kg/kg</t>
  </si>
  <si>
    <t xml:space="preserve">per </t>
  </si>
  <si>
    <t>OECD grain to grow meat</t>
  </si>
  <si>
    <t>Mt/yr</t>
  </si>
  <si>
    <t>kg/yr</t>
  </si>
  <si>
    <t>Move to veg</t>
  </si>
  <si>
    <t>%</t>
  </si>
  <si>
    <t>number of people</t>
  </si>
  <si>
    <t>with C.M</t>
  </si>
  <si>
    <t>kg/day</t>
  </si>
  <si>
    <t>kg/dy</t>
  </si>
  <si>
    <t>We know that in 2005 when grain prices increased by 17% from 2001</t>
  </si>
  <si>
    <t>the number of people with malnutrition decreased by 3.88%</t>
  </si>
  <si>
    <t>so let us speculate to work this out you divide by 16.7 and multiply by 3.9</t>
  </si>
  <si>
    <t>Meatfree days</t>
  </si>
  <si>
    <t xml:space="preserve">to get 1 human off </t>
  </si>
  <si>
    <t>Chronic Malnutrition</t>
  </si>
  <si>
    <t>First Aim</t>
  </si>
  <si>
    <t>Cow</t>
  </si>
  <si>
    <t>MFD</t>
  </si>
  <si>
    <t>metric</t>
  </si>
  <si>
    <t>Forest</t>
  </si>
  <si>
    <t>Ha</t>
  </si>
  <si>
    <t>Money</t>
  </si>
  <si>
    <t>Hungry people</t>
  </si>
  <si>
    <t>water</t>
  </si>
  <si>
    <t>m2</t>
  </si>
  <si>
    <t>people</t>
  </si>
  <si>
    <t>cows</t>
  </si>
  <si>
    <t>chickens</t>
  </si>
  <si>
    <t>toilet flushes</t>
  </si>
  <si>
    <t>km driven</t>
  </si>
  <si>
    <t>British Heart Foundation and University of Oxford</t>
  </si>
  <si>
    <t>Meat</t>
  </si>
  <si>
    <t>Pigs, poultry, eggs</t>
  </si>
  <si>
    <t>milk, butter and dairy</t>
  </si>
  <si>
    <t>kilocalories</t>
  </si>
  <si>
    <t>Fair less</t>
  </si>
  <si>
    <t>Project</t>
  </si>
  <si>
    <t>cost per week</t>
  </si>
  <si>
    <t>difference per week</t>
  </si>
  <si>
    <t>diff per day</t>
  </si>
  <si>
    <t>Forest calculation</t>
  </si>
  <si>
    <t>Total area of livestock</t>
  </si>
  <si>
    <t>meat</t>
  </si>
  <si>
    <t xml:space="preserve">m2 per OECD </t>
  </si>
  <si>
    <t xml:space="preserve">Total area </t>
  </si>
  <si>
    <t>Pasture</t>
  </si>
  <si>
    <t>bha</t>
  </si>
  <si>
    <t>Total area</t>
  </si>
  <si>
    <t>arable</t>
  </si>
  <si>
    <t>(our calculation)</t>
  </si>
  <si>
    <t>(Chambers p66)</t>
  </si>
  <si>
    <t>total area</t>
  </si>
  <si>
    <t>for livestock</t>
  </si>
  <si>
    <t>total area of destruction</t>
  </si>
  <si>
    <t>per year</t>
  </si>
  <si>
    <t>https://www.reference.com/science/many-football-pitches-hectare-c79dcfb34def6acb</t>
  </si>
  <si>
    <t>ha</t>
  </si>
  <si>
    <t>% for livestock</t>
  </si>
  <si>
    <t>to produce an OECD</t>
  </si>
  <si>
    <t>Back calculations</t>
  </si>
  <si>
    <t>Have a look at H8, so that is pretty close</t>
  </si>
  <si>
    <t>ha/yr</t>
  </si>
  <si>
    <t>m2/yr/ whole pop</t>
  </si>
  <si>
    <t>Number of days to save a hectare of forest</t>
  </si>
  <si>
    <t>How many day</t>
  </si>
  <si>
    <t>to get a hectare</t>
  </si>
  <si>
    <t>How many days</t>
  </si>
  <si>
    <t>to get a km2</t>
  </si>
  <si>
    <t>M2</t>
  </si>
  <si>
    <t>Km2</t>
  </si>
  <si>
    <t>year</t>
  </si>
  <si>
    <t>2000-2002</t>
  </si>
  <si>
    <t>No. with</t>
  </si>
  <si>
    <t>C. Malnutrition</t>
  </si>
  <si>
    <t>million</t>
  </si>
  <si>
    <t>Cereal Prices</t>
  </si>
  <si>
    <t>% change</t>
  </si>
  <si>
    <t>from previous</t>
  </si>
  <si>
    <t>Note: we guessed the lamb figure</t>
  </si>
  <si>
    <t>CF 3.4</t>
  </si>
  <si>
    <t>CF 3.3</t>
  </si>
  <si>
    <t>CF 3.5</t>
  </si>
  <si>
    <t>ratio of reduction of</t>
  </si>
  <si>
    <t>people with CM</t>
  </si>
  <si>
    <t>Per Meatfree day how many people do you bring out of Chronic Malnutrition</t>
  </si>
  <si>
    <t>CF 3.6</t>
  </si>
  <si>
    <t>ratio between 1 meatfree day and total global cereal</t>
  </si>
  <si>
    <t>production</t>
  </si>
  <si>
    <t>Total world cereal production</t>
  </si>
  <si>
    <t>Global Reduction of cereal</t>
  </si>
  <si>
    <t>Bilion</t>
  </si>
  <si>
    <t>Billion</t>
  </si>
  <si>
    <t>wild fish</t>
  </si>
  <si>
    <t>aquaculture fish</t>
  </si>
  <si>
    <t>crustaceans</t>
  </si>
  <si>
    <t>average</t>
  </si>
  <si>
    <t>Numbers caught or farmed</t>
  </si>
  <si>
    <t>Total weight of each individual species</t>
  </si>
  <si>
    <t>million tonnes</t>
  </si>
  <si>
    <t>billion tonnes</t>
  </si>
  <si>
    <t>Billion kg</t>
  </si>
  <si>
    <t>Total weight of caught and farmed fish (I assume that these are landed weights, not gutted weight)</t>
  </si>
  <si>
    <t>gm</t>
  </si>
  <si>
    <t>Working out whether the FAO figures are edible meat or the whole fish</t>
  </si>
  <si>
    <t>total catch</t>
  </si>
  <si>
    <t>million kg</t>
  </si>
  <si>
    <t>population</t>
  </si>
  <si>
    <t>per cap</t>
  </si>
  <si>
    <t>They are whole fish weights, including guts etc</t>
  </si>
  <si>
    <t xml:space="preserve">Whole weight of industrial countries </t>
  </si>
  <si>
    <t>yearly consumption</t>
  </si>
  <si>
    <t>kg/cap/year</t>
  </si>
  <si>
    <t>Number of fish we eat per day</t>
  </si>
  <si>
    <t>including carbon</t>
  </si>
  <si>
    <t>excluding carbon</t>
  </si>
  <si>
    <t>per kg per month per m2</t>
  </si>
  <si>
    <t>per kg per day per m2</t>
  </si>
  <si>
    <t>Note: We do not have lambs footprint factor</t>
  </si>
  <si>
    <t>M2 per person per day</t>
  </si>
  <si>
    <t>Per animal m2</t>
  </si>
  <si>
    <t>per animal per Ha</t>
  </si>
  <si>
    <t>Carbon</t>
  </si>
  <si>
    <t>Ref: GFN Wackernagel et al 2000</t>
  </si>
  <si>
    <t>per OECD serving</t>
  </si>
  <si>
    <t>Area of Marine Reserve</t>
  </si>
  <si>
    <t>Footprint factor/month</t>
  </si>
  <si>
    <t>per m2</t>
  </si>
  <si>
    <t>per month</t>
  </si>
  <si>
    <t>without carbon</t>
  </si>
  <si>
    <t>OECD</t>
  </si>
  <si>
    <t>average fish</t>
  </si>
  <si>
    <t>per day</t>
  </si>
  <si>
    <t>area of ocean</t>
  </si>
  <si>
    <t>per person</t>
  </si>
  <si>
    <t>per kg</t>
  </si>
  <si>
    <t>replacement vegetarian protein</t>
  </si>
  <si>
    <t>NB this is an estimate because we could not find the EF of lamb or the greenhouse gases</t>
  </si>
  <si>
    <t>NB We could not find the EF of tofu, soya or other vegetarian protein so we took the EF of Rice, cereals and noodles</t>
  </si>
  <si>
    <t>Replacing with vegetarian matter like Soya, Tofu</t>
  </si>
  <si>
    <t xml:space="preserve">Total carbon equivalent </t>
  </si>
  <si>
    <t>M2 per day</t>
  </si>
  <si>
    <t>of forest to absorb those gases</t>
  </si>
  <si>
    <t>Greenhouse gases from diet</t>
  </si>
  <si>
    <t>Equivalent distance in car</t>
  </si>
  <si>
    <t>per litre</t>
  </si>
  <si>
    <t>Litre could could use</t>
  </si>
  <si>
    <t xml:space="preserve">Distance you could travel </t>
  </si>
  <si>
    <t>with this amount of petrol</t>
  </si>
  <si>
    <t>assuming 8 litre per 100km</t>
  </si>
  <si>
    <t>GFN 2000 data</t>
  </si>
  <si>
    <t>Fish per month</t>
  </si>
  <si>
    <t>change between 2000-2 to 2005</t>
  </si>
  <si>
    <t>change between 2000-2 to 2009</t>
  </si>
  <si>
    <t>What happens if masses of people give up Meat</t>
  </si>
  <si>
    <t>Meatfree people</t>
  </si>
  <si>
    <t xml:space="preserve">Number of </t>
  </si>
  <si>
    <t>meatfree Days</t>
  </si>
  <si>
    <t>Metric</t>
  </si>
  <si>
    <t>Total people fed</t>
  </si>
  <si>
    <t>Longevity</t>
  </si>
  <si>
    <t>greenhouse</t>
  </si>
  <si>
    <t>Marine reserve</t>
  </si>
  <si>
    <t>Average life expectancy of average Swede</t>
  </si>
  <si>
    <t>years</t>
  </si>
  <si>
    <t>days</t>
  </si>
  <si>
    <t>How much should an average Swede</t>
  </si>
  <si>
    <t>live after the age of 60</t>
  </si>
  <si>
    <t>Additional days of life for people who currently</t>
  </si>
  <si>
    <t xml:space="preserve">eat no processed meat compared to those </t>
  </si>
  <si>
    <t>who eat 100gm per day.</t>
  </si>
  <si>
    <t>months</t>
  </si>
  <si>
    <t>Additional life expectancy per meatfree day</t>
  </si>
  <si>
    <t xml:space="preserve">compared to those who eat 100 gm of </t>
  </si>
  <si>
    <t>processed red meat</t>
  </si>
  <si>
    <t>minutes</t>
  </si>
  <si>
    <t xml:space="preserve">aged 65 in </t>
  </si>
  <si>
    <t>Average age of person in study</t>
  </si>
  <si>
    <t>unit</t>
  </si>
  <si>
    <t>US$</t>
  </si>
  <si>
    <t>Weight of cow kg</t>
  </si>
  <si>
    <t>Conversion rate of cow in %</t>
  </si>
  <si>
    <t>Amount of meat from average cow</t>
  </si>
  <si>
    <t>OECD (2014) average consumption kg per year</t>
  </si>
  <si>
    <t>OECD (2014) average consumption kg per day</t>
  </si>
  <si>
    <t>Calculations</t>
  </si>
  <si>
    <t>Conversion rate of chicken in %</t>
  </si>
  <si>
    <t>Amount of meat from average chicken</t>
  </si>
  <si>
    <t>Weight ofgutten and plucked chicken kg</t>
  </si>
  <si>
    <t>aquatic species</t>
  </si>
  <si>
    <t>If you had one meatfree day for 33 years, you will live a year longer</t>
  </si>
  <si>
    <t>If you have one meatfree day per week after a year you save at least $340 per year</t>
  </si>
  <si>
    <t>The number of people you raise out of chronic malnutrition if you have one meatfree day per week after a year.</t>
  </si>
  <si>
    <t>The number of cows we eat in our lifetimes</t>
  </si>
  <si>
    <t>We need one chicken every 16 days.</t>
  </si>
  <si>
    <t>In a lifetime we eat all these fish or prawns</t>
  </si>
  <si>
    <t>Get a metric between two places</t>
  </si>
  <si>
    <t>litres</t>
  </si>
  <si>
    <t>Interesting metrics</t>
  </si>
  <si>
    <t>Soccer pitch</t>
  </si>
  <si>
    <t>Tennis court</t>
  </si>
  <si>
    <t>Olympic swimming pool</t>
  </si>
  <si>
    <t>Paris to Moscow</t>
  </si>
  <si>
    <t>London to Rome</t>
  </si>
  <si>
    <t>London to Switzerland</t>
  </si>
  <si>
    <t>London to Geneva</t>
  </si>
  <si>
    <t>Area of an Olympic swimming pool</t>
  </si>
  <si>
    <t>1 mfd per week for a year, saved a tennis court of Amazon rainforest.</t>
  </si>
  <si>
    <t>water deducting pulses</t>
  </si>
  <si>
    <t>water meat only</t>
  </si>
  <si>
    <t>To produce the meat consumed by the average OECD consumer during their life requires this amount of Olympic Swimming pool.</t>
  </si>
  <si>
    <t>£/US$ rate</t>
  </si>
  <si>
    <t>How much less grain</t>
  </si>
  <si>
    <t>Lites per</t>
  </si>
  <si>
    <t>flush</t>
  </si>
  <si>
    <t>More engaging metrics</t>
  </si>
  <si>
    <t>If you never ate fish for 10 years, you would effectively have created a 11ha marine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</si>
</sst>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"/>
    <numFmt numFmtId="165" formatCode="0.00000"/>
    <numFmt numFmtId="166" formatCode="0.0000"/>
    <numFmt numFmtId="167" formatCode="#,##0.0000000"/>
    <numFmt numFmtId="168" formatCode="[$£-809]#,##0.00"/>
    <numFmt numFmtId="169" formatCode="#,##0.00000"/>
    <numFmt numFmtId="170" formatCode="0.000"/>
  </numFmts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mbria"/>
    </font>
    <font>
      <sz val="10"/>
      <color theme="1"/>
      <name val="Times New Roman"/>
    </font>
    <font>
      <sz val="10"/>
      <color rgb="FFFF0000"/>
      <name val="Times New Roman"/>
    </font>
    <font>
      <i/>
      <sz val="10"/>
      <color theme="1"/>
      <name val="Times New Roman"/>
    </font>
    <font>
      <b/>
      <u/>
      <sz val="12"/>
      <color theme="1"/>
      <name val="Calibri"/>
      <scheme val="minor"/>
    </font>
    <font>
      <b/>
      <u/>
      <sz val="18"/>
      <color theme="1"/>
      <name val="Calibri"/>
      <scheme val="minor"/>
    </font>
    <font>
      <sz val="12"/>
      <color rgb="FF000000"/>
      <name val="Calibri"/>
      <scheme val="minor"/>
    </font>
    <font>
      <b/>
      <u/>
      <sz val="20"/>
      <color theme="1"/>
      <name val="Calibri"/>
      <scheme val="minor"/>
    </font>
    <font>
      <b/>
      <u/>
      <sz val="20"/>
      <color rgb="FF000000"/>
      <name val="Calibri"/>
      <scheme val="minor"/>
    </font>
    <font>
      <b/>
      <u/>
      <sz val="16"/>
      <color theme="1"/>
      <name val="Calibri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9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0" fillId="0" borderId="0" xfId="0" applyNumberFormat="1"/>
    <xf numFmtId="168" fontId="0" fillId="0" borderId="0" xfId="0" applyNumberFormat="1"/>
    <xf numFmtId="10" fontId="0" fillId="0" borderId="0" xfId="0" applyNumberFormat="1"/>
    <xf numFmtId="3" fontId="0" fillId="2" borderId="0" xfId="0" applyNumberFormat="1" applyFill="1"/>
    <xf numFmtId="0" fontId="0" fillId="0" borderId="0" xfId="0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3" borderId="0" xfId="0" applyFill="1"/>
    <xf numFmtId="3" fontId="0" fillId="3" borderId="0" xfId="0" applyNumberFormat="1" applyFill="1"/>
    <xf numFmtId="165" fontId="0" fillId="0" borderId="0" xfId="0" applyNumberFormat="1" applyFill="1"/>
    <xf numFmtId="0" fontId="12" fillId="0" borderId="0" xfId="0" applyFont="1"/>
    <xf numFmtId="0" fontId="7" fillId="2" borderId="0" xfId="0" applyFont="1" applyFill="1"/>
    <xf numFmtId="168" fontId="0" fillId="0" borderId="0" xfId="0" applyNumberFormat="1" applyFill="1"/>
    <xf numFmtId="0" fontId="13" fillId="0" borderId="0" xfId="0" applyFont="1"/>
    <xf numFmtId="4" fontId="13" fillId="2" borderId="0" xfId="0" applyNumberFormat="1" applyFont="1" applyFill="1"/>
    <xf numFmtId="169" fontId="13" fillId="2" borderId="0" xfId="0" applyNumberFormat="1" applyFont="1" applyFill="1"/>
    <xf numFmtId="167" fontId="13" fillId="2" borderId="0" xfId="0" applyNumberFormat="1" applyFont="1" applyFill="1"/>
    <xf numFmtId="164" fontId="13" fillId="2" borderId="0" xfId="0" applyNumberFormat="1" applyFont="1" applyFill="1"/>
    <xf numFmtId="3" fontId="13" fillId="0" borderId="0" xfId="0" applyNumberFormat="1" applyFont="1"/>
    <xf numFmtId="0" fontId="14" fillId="2" borderId="0" xfId="0" applyFont="1" applyFill="1"/>
    <xf numFmtId="170" fontId="7" fillId="2" borderId="0" xfId="0" applyNumberFormat="1" applyFont="1" applyFill="1"/>
    <xf numFmtId="165" fontId="0" fillId="2" borderId="0" xfId="0" applyNumberFormat="1" applyFill="1"/>
    <xf numFmtId="0" fontId="0" fillId="2" borderId="0" xfId="0" applyNumberFormat="1" applyFill="1"/>
  </cellXfs>
  <cellStyles count="3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15" sqref="D15"/>
    </sheetView>
  </sheetViews>
  <sheetFormatPr baseColWidth="10" defaultRowHeight="15" x14ac:dyDescent="0"/>
  <cols>
    <col min="3" max="3" width="16.1640625" customWidth="1"/>
    <col min="6" max="7" width="19.6640625" customWidth="1"/>
    <col min="14" max="14" width="30.6640625" customWidth="1"/>
  </cols>
  <sheetData>
    <row r="1" spans="1:10">
      <c r="A1" t="s">
        <v>66</v>
      </c>
      <c r="D1" t="s">
        <v>68</v>
      </c>
      <c r="F1" s="9" t="s">
        <v>248</v>
      </c>
    </row>
    <row r="2" spans="1:10">
      <c r="C2" t="s">
        <v>228</v>
      </c>
      <c r="D2" t="s">
        <v>69</v>
      </c>
    </row>
    <row r="4" spans="1:10">
      <c r="G4" t="s">
        <v>75</v>
      </c>
      <c r="H4" t="s">
        <v>247</v>
      </c>
      <c r="I4" t="s">
        <v>16</v>
      </c>
    </row>
    <row r="5" spans="1:10" s="25" customFormat="1">
      <c r="A5" s="25" t="s">
        <v>210</v>
      </c>
      <c r="C5" s="25" t="s">
        <v>225</v>
      </c>
      <c r="D5" s="26">
        <f>'1 Longevity'!E19</f>
        <v>44.628099173553707</v>
      </c>
      <c r="E5"/>
      <c r="F5" s="25" t="s">
        <v>249</v>
      </c>
      <c r="G5" s="25">
        <v>7140</v>
      </c>
      <c r="J5"/>
    </row>
    <row r="6" spans="1:10" s="25" customFormat="1">
      <c r="A6" s="25" t="s">
        <v>72</v>
      </c>
      <c r="C6" s="25" t="s">
        <v>229</v>
      </c>
      <c r="D6" s="26">
        <f>'2 Saving Money'!D18</f>
        <v>0.93</v>
      </c>
      <c r="E6"/>
      <c r="F6" s="25" t="s">
        <v>250</v>
      </c>
      <c r="G6" s="25">
        <f>23.77*8.23</f>
        <v>195.62710000000001</v>
      </c>
      <c r="J6"/>
    </row>
    <row r="7" spans="1:10" s="25" customFormat="1">
      <c r="A7" s="25" t="s">
        <v>73</v>
      </c>
      <c r="C7" s="25" t="s">
        <v>76</v>
      </c>
      <c r="D7" s="27">
        <f>'3 Malnutrition'!D51</f>
        <v>3.6771876225623987E-2</v>
      </c>
      <c r="E7"/>
      <c r="F7" s="25" t="s">
        <v>251</v>
      </c>
      <c r="H7" s="30">
        <v>2500000</v>
      </c>
      <c r="J7"/>
    </row>
    <row r="8" spans="1:10" s="25" customFormat="1">
      <c r="A8" s="25" t="s">
        <v>67</v>
      </c>
      <c r="C8" s="25" t="s">
        <v>77</v>
      </c>
      <c r="D8" s="28">
        <f>'4 Cows'!B12</f>
        <v>1.3105854149143048E-4</v>
      </c>
      <c r="E8"/>
      <c r="F8" s="25" t="s">
        <v>252</v>
      </c>
      <c r="I8" s="25">
        <v>2830</v>
      </c>
      <c r="J8"/>
    </row>
    <row r="9" spans="1:10" s="25" customFormat="1">
      <c r="A9" s="25" t="s">
        <v>4</v>
      </c>
      <c r="C9" s="25" t="s">
        <v>78</v>
      </c>
      <c r="D9" s="29">
        <f>'5 Chickens'!C12</f>
        <v>6.3969887076070542E-2</v>
      </c>
      <c r="E9"/>
      <c r="F9" s="25" t="s">
        <v>253</v>
      </c>
      <c r="I9" s="25">
        <v>1865</v>
      </c>
      <c r="J9"/>
    </row>
    <row r="10" spans="1:10" s="25" customFormat="1">
      <c r="A10" s="25" t="s">
        <v>14</v>
      </c>
      <c r="C10" s="25" t="s">
        <v>239</v>
      </c>
      <c r="D10" s="26">
        <f>'6  Fish'!B35</f>
        <v>1.0436012940615162</v>
      </c>
      <c r="E10"/>
      <c r="F10" s="25" t="s">
        <v>254</v>
      </c>
      <c r="I10" s="25">
        <v>1046</v>
      </c>
      <c r="J10"/>
    </row>
    <row r="11" spans="1:10" s="25" customFormat="1">
      <c r="A11" s="25" t="s">
        <v>70</v>
      </c>
      <c r="C11" s="25" t="s">
        <v>75</v>
      </c>
      <c r="D11" s="26">
        <f>'7 Forest'!H35</f>
        <v>4.6939857534246574</v>
      </c>
      <c r="E11"/>
      <c r="F11" s="25" t="s">
        <v>255</v>
      </c>
      <c r="I11" s="25">
        <v>984</v>
      </c>
      <c r="J11"/>
    </row>
    <row r="12" spans="1:10" s="25" customFormat="1">
      <c r="A12" s="25" t="s">
        <v>211</v>
      </c>
      <c r="C12" s="25" t="s">
        <v>80</v>
      </c>
      <c r="D12" s="26">
        <f>'8 Greenhouse'!G23</f>
        <v>5.6413623595505626</v>
      </c>
      <c r="E12"/>
      <c r="F12" s="25" t="s">
        <v>256</v>
      </c>
      <c r="G12" s="25">
        <f>50*25</f>
        <v>1250</v>
      </c>
      <c r="J12"/>
    </row>
    <row r="13" spans="1:10" s="25" customFormat="1">
      <c r="A13" s="25" t="s">
        <v>258</v>
      </c>
      <c r="C13" s="25" t="s">
        <v>79</v>
      </c>
      <c r="D13" s="26">
        <f>'9 water'!I20</f>
        <v>98.276916666666637</v>
      </c>
      <c r="E13"/>
      <c r="F13"/>
      <c r="G13"/>
      <c r="H13"/>
      <c r="I13"/>
      <c r="J13"/>
    </row>
    <row r="14" spans="1:10" s="25" customFormat="1">
      <c r="C14" s="25" t="s">
        <v>247</v>
      </c>
      <c r="D14" s="26">
        <v>590</v>
      </c>
      <c r="E14"/>
      <c r="F14"/>
      <c r="G14"/>
      <c r="H14"/>
      <c r="I14"/>
      <c r="J14"/>
    </row>
    <row r="15" spans="1:10" s="25" customFormat="1">
      <c r="A15" s="25" t="s">
        <v>259</v>
      </c>
      <c r="C15" s="25" t="s">
        <v>247</v>
      </c>
      <c r="D15" s="26">
        <f>'9 water'!G15</f>
        <v>1306.1799999999998</v>
      </c>
      <c r="E15"/>
      <c r="F15"/>
      <c r="G15"/>
      <c r="H15"/>
      <c r="I15"/>
      <c r="J15"/>
    </row>
    <row r="16" spans="1:10" s="25" customFormat="1">
      <c r="A16" s="25" t="s">
        <v>212</v>
      </c>
      <c r="C16" s="25" t="s">
        <v>75</v>
      </c>
      <c r="D16" s="26">
        <f>'10 Marine reserve'!G10</f>
        <v>11.704306849315069</v>
      </c>
      <c r="E16"/>
      <c r="F16"/>
      <c r="G16"/>
      <c r="H16"/>
      <c r="I16"/>
      <c r="J16"/>
    </row>
    <row r="18" spans="1:4">
      <c r="B18" t="s">
        <v>265</v>
      </c>
    </row>
    <row r="20" spans="1:4">
      <c r="A20" s="25" t="s">
        <v>210</v>
      </c>
      <c r="C20" s="1">
        <f>(24*60)/D5</f>
        <v>32.266666666666673</v>
      </c>
      <c r="D20" t="s">
        <v>240</v>
      </c>
    </row>
    <row r="21" spans="1:4">
      <c r="A21" s="25" t="s">
        <v>72</v>
      </c>
      <c r="C21" s="1">
        <f>365.3*D6</f>
        <v>339.72900000000004</v>
      </c>
      <c r="D21" t="s">
        <v>241</v>
      </c>
    </row>
    <row r="22" spans="1:4">
      <c r="A22" s="25" t="s">
        <v>73</v>
      </c>
      <c r="C22" s="1">
        <f>365.3*D7</f>
        <v>13.432766385220443</v>
      </c>
      <c r="D22" t="s">
        <v>242</v>
      </c>
    </row>
    <row r="23" spans="1:4">
      <c r="A23" s="25" t="s">
        <v>67</v>
      </c>
      <c r="C23" s="1">
        <f>(80*365)*D8</f>
        <v>3.8269094115497699</v>
      </c>
      <c r="D23" t="s">
        <v>243</v>
      </c>
    </row>
    <row r="24" spans="1:4">
      <c r="A24" s="25" t="s">
        <v>4</v>
      </c>
      <c r="C24" s="1">
        <f>D9*365</f>
        <v>23.349008782765747</v>
      </c>
      <c r="D24" t="s">
        <v>244</v>
      </c>
    </row>
    <row r="25" spans="1:4">
      <c r="A25" s="25" t="s">
        <v>14</v>
      </c>
      <c r="C25" s="1">
        <f>(80*365)*D10</f>
        <v>30473.157786596275</v>
      </c>
      <c r="D25" t="s">
        <v>245</v>
      </c>
    </row>
    <row r="26" spans="1:4">
      <c r="A26" s="25" t="s">
        <v>70</v>
      </c>
      <c r="C26" s="1">
        <f>D11*52</f>
        <v>244.08725917808218</v>
      </c>
      <c r="D26" t="s">
        <v>257</v>
      </c>
    </row>
    <row r="27" spans="1:4">
      <c r="A27" s="25" t="s">
        <v>211</v>
      </c>
      <c r="C27" s="1">
        <f>52*D12*2</f>
        <v>586.70168539325846</v>
      </c>
      <c r="D27" t="s">
        <v>246</v>
      </c>
    </row>
    <row r="28" spans="1:4">
      <c r="A28" s="25" t="s">
        <v>74</v>
      </c>
      <c r="C28" s="1">
        <f>(D15*365*82)/H7</f>
        <v>15.63758696</v>
      </c>
      <c r="D28" t="s">
        <v>260</v>
      </c>
    </row>
    <row r="29" spans="1:4">
      <c r="A29" s="25" t="s">
        <v>212</v>
      </c>
      <c r="C29" s="1">
        <f>(D16*7*52*10)/10000</f>
        <v>4.2603676931506849</v>
      </c>
      <c r="D29" t="s">
        <v>266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opLeftCell="A11" workbookViewId="0">
      <selection activeCell="I20" sqref="I20"/>
    </sheetView>
  </sheetViews>
  <sheetFormatPr baseColWidth="10" defaultRowHeight="15" x14ac:dyDescent="0"/>
  <cols>
    <col min="1" max="1" width="15.6640625" customWidth="1"/>
    <col min="2" max="2" width="9" customWidth="1"/>
    <col min="3" max="3" width="11" customWidth="1"/>
    <col min="4" max="4" width="10.1640625" customWidth="1"/>
    <col min="5" max="5" width="10" customWidth="1"/>
    <col min="6" max="6" width="14" customWidth="1"/>
    <col min="8" max="8" width="7.33203125" customWidth="1"/>
    <col min="9" max="9" width="8.83203125" customWidth="1"/>
    <col min="10" max="10" width="12" customWidth="1"/>
    <col min="12" max="12" width="12.5" customWidth="1"/>
    <col min="13" max="13" width="10.33203125" customWidth="1"/>
    <col min="14" max="14" width="9.1640625" customWidth="1"/>
    <col min="15" max="15" width="11.33203125" bestFit="1" customWidth="1"/>
    <col min="16" max="16" width="11.1640625" bestFit="1" customWidth="1"/>
  </cols>
  <sheetData>
    <row r="2" spans="1:9">
      <c r="A2" s="9" t="s">
        <v>22</v>
      </c>
      <c r="B2" s="7" t="s">
        <v>34</v>
      </c>
    </row>
    <row r="4" spans="1:9">
      <c r="B4" t="s">
        <v>23</v>
      </c>
      <c r="C4" t="s">
        <v>24</v>
      </c>
      <c r="D4" t="s">
        <v>28</v>
      </c>
      <c r="H4" t="s">
        <v>33</v>
      </c>
    </row>
    <row r="5" spans="1:9">
      <c r="B5" t="s">
        <v>25</v>
      </c>
      <c r="C5" t="s">
        <v>25</v>
      </c>
      <c r="D5" t="s">
        <v>25</v>
      </c>
      <c r="E5" t="s">
        <v>29</v>
      </c>
      <c r="F5" t="s">
        <v>30</v>
      </c>
      <c r="G5" t="s">
        <v>32</v>
      </c>
    </row>
    <row r="6" spans="1:9">
      <c r="G6" t="s">
        <v>31</v>
      </c>
    </row>
    <row r="7" spans="1:9">
      <c r="B7" t="s">
        <v>26</v>
      </c>
      <c r="C7" s="8" t="s">
        <v>27</v>
      </c>
    </row>
    <row r="9" spans="1:9">
      <c r="B9">
        <v>1050</v>
      </c>
      <c r="C9">
        <v>2100</v>
      </c>
      <c r="D9">
        <f>C9-B9</f>
        <v>1050</v>
      </c>
      <c r="E9">
        <f>D9/365</f>
        <v>2.8767123287671232</v>
      </c>
      <c r="F9">
        <f>E9*1000</f>
        <v>2876.7123287671234</v>
      </c>
      <c r="G9">
        <v>6</v>
      </c>
      <c r="H9">
        <f>F9/G9</f>
        <v>479.45205479452056</v>
      </c>
    </row>
    <row r="11" spans="1:9">
      <c r="A11" t="s">
        <v>36</v>
      </c>
      <c r="C11" t="s">
        <v>37</v>
      </c>
    </row>
    <row r="13" spans="1:9">
      <c r="B13" s="1"/>
      <c r="C13" s="1" t="s">
        <v>6</v>
      </c>
      <c r="D13" t="s">
        <v>38</v>
      </c>
      <c r="E13" t="s">
        <v>35</v>
      </c>
      <c r="F13" t="s">
        <v>39</v>
      </c>
      <c r="G13" t="s">
        <v>40</v>
      </c>
      <c r="H13" t="s">
        <v>263</v>
      </c>
      <c r="I13" t="s">
        <v>41</v>
      </c>
    </row>
    <row r="14" spans="1:9">
      <c r="B14" s="1"/>
      <c r="C14" s="1"/>
      <c r="H14" t="s">
        <v>264</v>
      </c>
    </row>
    <row r="15" spans="1:9">
      <c r="B15" s="1" t="s">
        <v>2</v>
      </c>
      <c r="C15" s="2">
        <v>3.7999999999999999E-2</v>
      </c>
      <c r="D15">
        <v>15415</v>
      </c>
      <c r="E15">
        <v>15400</v>
      </c>
      <c r="F15">
        <f>E15*C15</f>
        <v>585.19999999999993</v>
      </c>
      <c r="G15">
        <f>F15+F16+F17+F18</f>
        <v>1306.1799999999998</v>
      </c>
    </row>
    <row r="16" spans="1:9">
      <c r="B16" s="1" t="s">
        <v>3</v>
      </c>
      <c r="C16" s="2">
        <v>0.06</v>
      </c>
      <c r="D16">
        <v>5988</v>
      </c>
      <c r="E16">
        <v>6000</v>
      </c>
      <c r="F16">
        <f t="shared" ref="F16:F20" si="0">E16*C16</f>
        <v>360</v>
      </c>
    </row>
    <row r="17" spans="2:9">
      <c r="B17" s="1" t="s">
        <v>4</v>
      </c>
      <c r="C17" s="2">
        <v>7.4999999999999997E-2</v>
      </c>
      <c r="D17">
        <v>4325</v>
      </c>
      <c r="E17">
        <v>4300</v>
      </c>
      <c r="F17">
        <f t="shared" si="0"/>
        <v>322.5</v>
      </c>
    </row>
    <row r="18" spans="2:9">
      <c r="B18" s="1" t="s">
        <v>5</v>
      </c>
      <c r="C18" s="2">
        <v>3.7000000000000002E-3</v>
      </c>
      <c r="D18">
        <v>8763</v>
      </c>
      <c r="E18">
        <v>10400</v>
      </c>
      <c r="F18">
        <f t="shared" si="0"/>
        <v>38.480000000000004</v>
      </c>
    </row>
    <row r="20" spans="2:9">
      <c r="B20" s="1" t="s">
        <v>42</v>
      </c>
      <c r="C20" s="2">
        <f>SUM(C15:C18)</f>
        <v>0.1767</v>
      </c>
      <c r="D20">
        <v>4055</v>
      </c>
      <c r="E20">
        <f>D20</f>
        <v>4055</v>
      </c>
      <c r="F20">
        <f t="shared" si="0"/>
        <v>716.51850000000002</v>
      </c>
      <c r="G20">
        <f>G15-F20</f>
        <v>589.66149999999982</v>
      </c>
      <c r="H20">
        <v>6</v>
      </c>
      <c r="I20" s="23">
        <f>G20/H20</f>
        <v>98.276916666666637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opLeftCell="A2" workbookViewId="0">
      <selection activeCell="F10" sqref="F10"/>
    </sheetView>
  </sheetViews>
  <sheetFormatPr baseColWidth="10" defaultRowHeight="15" x14ac:dyDescent="0"/>
  <sheetData>
    <row r="2" spans="2:7">
      <c r="D2" t="s">
        <v>175</v>
      </c>
    </row>
    <row r="3" spans="2:7">
      <c r="B3" t="s">
        <v>200</v>
      </c>
      <c r="C3" t="s">
        <v>172</v>
      </c>
    </row>
    <row r="4" spans="2:7">
      <c r="B4" t="s">
        <v>201</v>
      </c>
      <c r="C4" t="s">
        <v>178</v>
      </c>
      <c r="D4" t="s">
        <v>176</v>
      </c>
      <c r="E4" t="s">
        <v>176</v>
      </c>
      <c r="G4" s="15" t="s">
        <v>183</v>
      </c>
    </row>
    <row r="5" spans="2:7">
      <c r="D5" t="s">
        <v>177</v>
      </c>
      <c r="E5" t="s">
        <v>177</v>
      </c>
      <c r="F5" t="s">
        <v>180</v>
      </c>
      <c r="G5" s="15" t="s">
        <v>182</v>
      </c>
    </row>
    <row r="6" spans="2:7">
      <c r="D6" t="s">
        <v>178</v>
      </c>
      <c r="E6" t="s">
        <v>182</v>
      </c>
      <c r="F6" t="s">
        <v>181</v>
      </c>
      <c r="G6" s="15" t="s">
        <v>184</v>
      </c>
    </row>
    <row r="7" spans="2:7">
      <c r="D7" t="s">
        <v>179</v>
      </c>
      <c r="E7" t="s">
        <v>179</v>
      </c>
      <c r="F7" t="s">
        <v>182</v>
      </c>
      <c r="G7" s="15" t="s">
        <v>119</v>
      </c>
    </row>
    <row r="8" spans="2:7">
      <c r="F8" t="s">
        <v>185</v>
      </c>
      <c r="G8" s="15"/>
    </row>
    <row r="9" spans="2:7">
      <c r="G9" s="15"/>
    </row>
    <row r="10" spans="2:7">
      <c r="B10">
        <v>6313</v>
      </c>
      <c r="C10">
        <v>279</v>
      </c>
      <c r="D10">
        <f>B10-C10</f>
        <v>6034</v>
      </c>
      <c r="E10">
        <f>D10*12/365</f>
        <v>198.37808219178083</v>
      </c>
      <c r="F10">
        <v>5.8999999999999997E-2</v>
      </c>
      <c r="G10" s="23">
        <f>E10*F10</f>
        <v>11.704306849315069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9"/>
  <sheetViews>
    <sheetView workbookViewId="0">
      <selection activeCell="E19" sqref="E19"/>
    </sheetView>
  </sheetViews>
  <sheetFormatPr baseColWidth="10" defaultRowHeight="15" x14ac:dyDescent="0"/>
  <cols>
    <col min="1" max="1" width="36.1640625" customWidth="1"/>
  </cols>
  <sheetData>
    <row r="3" spans="1:5">
      <c r="B3" t="s">
        <v>214</v>
      </c>
      <c r="C3" t="s">
        <v>221</v>
      </c>
      <c r="D3" t="s">
        <v>215</v>
      </c>
      <c r="E3" t="s">
        <v>225</v>
      </c>
    </row>
    <row r="5" spans="1:5">
      <c r="A5" t="s">
        <v>227</v>
      </c>
      <c r="B5">
        <v>60</v>
      </c>
    </row>
    <row r="7" spans="1:5">
      <c r="A7" t="s">
        <v>213</v>
      </c>
    </row>
    <row r="8" spans="1:5">
      <c r="A8" t="s">
        <v>226</v>
      </c>
      <c r="B8">
        <f>65+19.2</f>
        <v>84.2</v>
      </c>
    </row>
    <row r="10" spans="1:5">
      <c r="A10" t="s">
        <v>216</v>
      </c>
    </row>
    <row r="11" spans="1:5">
      <c r="A11" t="s">
        <v>217</v>
      </c>
      <c r="B11">
        <f>B8-B5</f>
        <v>24.200000000000003</v>
      </c>
      <c r="D11">
        <f>B11*365.3</f>
        <v>8840.260000000002</v>
      </c>
    </row>
    <row r="13" spans="1:5">
      <c r="A13" t="s">
        <v>218</v>
      </c>
    </row>
    <row r="14" spans="1:5">
      <c r="A14" t="s">
        <v>219</v>
      </c>
    </row>
    <row r="15" spans="1:5">
      <c r="A15" t="s">
        <v>220</v>
      </c>
      <c r="C15">
        <v>9</v>
      </c>
      <c r="D15">
        <f>C15/12*365.3</f>
        <v>273.97500000000002</v>
      </c>
    </row>
    <row r="17" spans="1:5">
      <c r="A17" t="s">
        <v>222</v>
      </c>
    </row>
    <row r="18" spans="1:5">
      <c r="A18" t="s">
        <v>223</v>
      </c>
    </row>
    <row r="19" spans="1:5">
      <c r="A19" t="s">
        <v>224</v>
      </c>
      <c r="D19">
        <f>D15/D11</f>
        <v>3.0991735537190077E-2</v>
      </c>
      <c r="E19" s="23">
        <f>D19*24*60</f>
        <v>44.628099173553707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8" sqref="D18"/>
    </sheetView>
  </sheetViews>
  <sheetFormatPr baseColWidth="10" defaultRowHeight="15" x14ac:dyDescent="0"/>
  <cols>
    <col min="1" max="2" width="19" customWidth="1"/>
  </cols>
  <sheetData>
    <row r="1" spans="1:4">
      <c r="A1" t="s">
        <v>81</v>
      </c>
    </row>
    <row r="2" spans="1:4">
      <c r="C2" t="s">
        <v>87</v>
      </c>
      <c r="D2" t="s">
        <v>86</v>
      </c>
    </row>
    <row r="3" spans="1:4">
      <c r="C3">
        <v>2050</v>
      </c>
      <c r="D3" t="s">
        <v>82</v>
      </c>
    </row>
    <row r="4" spans="1:4">
      <c r="C4" t="s">
        <v>85</v>
      </c>
    </row>
    <row r="7" spans="1:4">
      <c r="A7" t="s">
        <v>40</v>
      </c>
      <c r="B7">
        <f>SUM(B9:B12)</f>
        <v>1058</v>
      </c>
      <c r="C7">
        <f>SUM(C9:C12)</f>
        <v>1112</v>
      </c>
      <c r="D7">
        <f>SUM(D9:D12)</f>
        <v>201</v>
      </c>
    </row>
    <row r="9" spans="1:4">
      <c r="A9" t="s">
        <v>82</v>
      </c>
      <c r="B9">
        <v>115</v>
      </c>
      <c r="C9">
        <v>125</v>
      </c>
      <c r="D9">
        <v>18</v>
      </c>
    </row>
    <row r="10" spans="1:4">
      <c r="A10" t="s">
        <v>83</v>
      </c>
      <c r="B10">
        <v>466</v>
      </c>
      <c r="C10">
        <v>490</v>
      </c>
      <c r="D10">
        <v>71</v>
      </c>
    </row>
    <row r="11" spans="1:4">
      <c r="A11" t="s">
        <v>84</v>
      </c>
      <c r="B11">
        <v>427</v>
      </c>
      <c r="C11">
        <v>450</v>
      </c>
      <c r="D11">
        <v>65</v>
      </c>
    </row>
    <row r="12" spans="1:4">
      <c r="A12" t="s">
        <v>14</v>
      </c>
      <c r="B12">
        <v>50</v>
      </c>
      <c r="C12">
        <v>47</v>
      </c>
      <c r="D12">
        <v>47</v>
      </c>
    </row>
    <row r="14" spans="1:4">
      <c r="A14" t="s">
        <v>88</v>
      </c>
      <c r="C14" s="12">
        <v>23.16</v>
      </c>
      <c r="D14" s="12">
        <v>17.93</v>
      </c>
    </row>
    <row r="15" spans="1:4">
      <c r="A15" t="s">
        <v>89</v>
      </c>
      <c r="D15" s="12">
        <f>C14-D14</f>
        <v>5.23</v>
      </c>
    </row>
    <row r="16" spans="1:4">
      <c r="A16" t="s">
        <v>90</v>
      </c>
      <c r="D16" s="24">
        <f>D15/7</f>
        <v>0.74714285714285722</v>
      </c>
    </row>
    <row r="18" spans="3:4">
      <c r="C18" t="s">
        <v>229</v>
      </c>
      <c r="D18" s="31">
        <v>0.93</v>
      </c>
    </row>
    <row r="20" spans="3:4">
      <c r="C20" t="s">
        <v>261</v>
      </c>
      <c r="D20" s="12">
        <f>D16/D18</f>
        <v>0.80337941628264209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35" workbookViewId="0">
      <selection activeCell="N56" sqref="N56"/>
    </sheetView>
  </sheetViews>
  <sheetFormatPr baseColWidth="10" defaultRowHeight="15" x14ac:dyDescent="0"/>
  <cols>
    <col min="1" max="1" width="12.1640625" bestFit="1" customWidth="1"/>
    <col min="2" max="2" width="15.1640625" customWidth="1"/>
    <col min="3" max="3" width="16" customWidth="1"/>
    <col min="5" max="5" width="17.33203125" customWidth="1"/>
    <col min="10" max="10" width="16" customWidth="1"/>
  </cols>
  <sheetData>
    <row r="1" spans="1:8">
      <c r="F1" t="s">
        <v>121</v>
      </c>
      <c r="G1" t="s">
        <v>126</v>
      </c>
      <c r="H1" t="s">
        <v>127</v>
      </c>
    </row>
    <row r="2" spans="1:8" ht="25">
      <c r="A2" s="17" t="s">
        <v>131</v>
      </c>
      <c r="C2" t="s">
        <v>123</v>
      </c>
      <c r="H2" t="s">
        <v>128</v>
      </c>
    </row>
    <row r="3" spans="1:8">
      <c r="B3" t="s">
        <v>121</v>
      </c>
      <c r="C3" t="s">
        <v>124</v>
      </c>
      <c r="D3" t="s">
        <v>127</v>
      </c>
    </row>
    <row r="4" spans="1:8">
      <c r="C4" t="s">
        <v>125</v>
      </c>
      <c r="D4" t="s">
        <v>128</v>
      </c>
    </row>
    <row r="6" spans="1:8">
      <c r="B6" t="s">
        <v>122</v>
      </c>
      <c r="C6">
        <v>825</v>
      </c>
      <c r="F6">
        <v>2001</v>
      </c>
      <c r="G6">
        <v>86.8</v>
      </c>
    </row>
    <row r="8" spans="1:8">
      <c r="D8" t="s">
        <v>202</v>
      </c>
    </row>
    <row r="9" spans="1:8">
      <c r="B9">
        <v>2005</v>
      </c>
      <c r="C9">
        <v>857</v>
      </c>
      <c r="D9" s="13">
        <f>(C9-C6)/C6</f>
        <v>3.8787878787878788E-2</v>
      </c>
      <c r="F9">
        <v>2005</v>
      </c>
      <c r="G9">
        <v>101.3</v>
      </c>
      <c r="H9" s="13">
        <f>(G9-G6)/G6</f>
        <v>0.16705069124423963</v>
      </c>
    </row>
    <row r="11" spans="1:8">
      <c r="D11" t="s">
        <v>203</v>
      </c>
    </row>
    <row r="12" spans="1:8">
      <c r="B12">
        <v>2009</v>
      </c>
      <c r="C12">
        <v>1020</v>
      </c>
      <c r="D12" s="13">
        <f>(C12-C6)/C6</f>
        <v>0.23636363636363636</v>
      </c>
      <c r="F12">
        <v>2009</v>
      </c>
      <c r="G12">
        <v>170.1</v>
      </c>
      <c r="H12" s="13">
        <f>(G12-G6)/G6</f>
        <v>0.95967741935483875</v>
      </c>
    </row>
    <row r="15" spans="1:8">
      <c r="B15">
        <v>2016</v>
      </c>
      <c r="C15">
        <v>793</v>
      </c>
      <c r="D15" s="13">
        <f>(C15-C12)/C12</f>
        <v>-0.22254901960784312</v>
      </c>
      <c r="F15">
        <v>2016</v>
      </c>
      <c r="G15">
        <v>146.9</v>
      </c>
      <c r="H15" s="13">
        <f>(G15-G12)/G12</f>
        <v>-0.13639035861258078</v>
      </c>
    </row>
    <row r="19" spans="1:5" ht="23">
      <c r="A19" s="10" t="s">
        <v>262</v>
      </c>
    </row>
    <row r="20" spans="1:5" ht="25">
      <c r="A20" s="17" t="s">
        <v>130</v>
      </c>
      <c r="C20" t="s">
        <v>51</v>
      </c>
    </row>
    <row r="21" spans="1:5">
      <c r="D21" t="s">
        <v>43</v>
      </c>
      <c r="E21" s="7" t="s">
        <v>46</v>
      </c>
    </row>
    <row r="22" spans="1:5">
      <c r="D22" t="s">
        <v>44</v>
      </c>
      <c r="E22" t="s">
        <v>47</v>
      </c>
    </row>
    <row r="23" spans="1:5">
      <c r="B23" s="1"/>
      <c r="C23" s="1" t="s">
        <v>6</v>
      </c>
      <c r="D23" t="s">
        <v>45</v>
      </c>
      <c r="E23" t="s">
        <v>50</v>
      </c>
    </row>
    <row r="24" spans="1:5">
      <c r="B24" s="1"/>
      <c r="C24" s="1"/>
      <c r="D24" t="s">
        <v>49</v>
      </c>
      <c r="E24" t="s">
        <v>6</v>
      </c>
    </row>
    <row r="25" spans="1:5">
      <c r="B25" s="1"/>
      <c r="C25" s="1"/>
    </row>
    <row r="26" spans="1:5">
      <c r="B26" s="1" t="s">
        <v>2</v>
      </c>
      <c r="C26" s="2">
        <v>3.7999999999999999E-2</v>
      </c>
      <c r="D26">
        <v>20</v>
      </c>
      <c r="E26">
        <f>C26*D26</f>
        <v>0.76</v>
      </c>
    </row>
    <row r="27" spans="1:5">
      <c r="B27" s="1" t="s">
        <v>3</v>
      </c>
      <c r="C27" s="2">
        <v>0.06</v>
      </c>
      <c r="D27">
        <v>7.3</v>
      </c>
      <c r="E27">
        <f t="shared" ref="E27:E29" si="0">C27*D27</f>
        <v>0.438</v>
      </c>
    </row>
    <row r="28" spans="1:5">
      <c r="B28" s="1" t="s">
        <v>4</v>
      </c>
      <c r="C28" s="2">
        <v>7.4999999999999997E-2</v>
      </c>
      <c r="D28">
        <v>4.5</v>
      </c>
      <c r="E28">
        <f t="shared" si="0"/>
        <v>0.33749999999999997</v>
      </c>
    </row>
    <row r="29" spans="1:5">
      <c r="B29" s="1" t="s">
        <v>5</v>
      </c>
      <c r="C29" s="2">
        <v>3.7000000000000002E-3</v>
      </c>
      <c r="D29">
        <v>15</v>
      </c>
      <c r="E29">
        <f t="shared" si="0"/>
        <v>5.5500000000000001E-2</v>
      </c>
    </row>
    <row r="31" spans="1:5">
      <c r="B31" s="1" t="s">
        <v>42</v>
      </c>
      <c r="C31" s="2">
        <f>SUM(C26:C29)</f>
        <v>0.1767</v>
      </c>
      <c r="D31" t="s">
        <v>40</v>
      </c>
      <c r="E31" s="33">
        <f>E26+E27+E28+E29-C31</f>
        <v>1.4142999999999999</v>
      </c>
    </row>
    <row r="33" spans="1:5">
      <c r="D33" t="s">
        <v>129</v>
      </c>
    </row>
    <row r="34" spans="1:5">
      <c r="D34" t="s">
        <v>48</v>
      </c>
    </row>
    <row r="35" spans="1:5" ht="25">
      <c r="A35" s="17" t="s">
        <v>132</v>
      </c>
    </row>
    <row r="36" spans="1:5" ht="25">
      <c r="A36" s="17" t="s">
        <v>140</v>
      </c>
    </row>
    <row r="38" spans="1:5">
      <c r="A38" t="s">
        <v>139</v>
      </c>
      <c r="D38" t="s">
        <v>54</v>
      </c>
      <c r="E38" t="s">
        <v>137</v>
      </c>
    </row>
    <row r="39" spans="1:5">
      <c r="A39" t="s">
        <v>52</v>
      </c>
      <c r="B39" t="s">
        <v>53</v>
      </c>
      <c r="C39" t="s">
        <v>58</v>
      </c>
      <c r="D39" t="s">
        <v>59</v>
      </c>
      <c r="E39" t="s">
        <v>138</v>
      </c>
    </row>
    <row r="41" spans="1:5">
      <c r="A41">
        <v>2599.8000000000002</v>
      </c>
      <c r="B41">
        <f>A41*1000*1000000</f>
        <v>2599800000000</v>
      </c>
      <c r="C41">
        <f>B41/365</f>
        <v>7122739726.0273972</v>
      </c>
      <c r="D41" s="2">
        <f>E31</f>
        <v>1.4142999999999999</v>
      </c>
      <c r="E41" s="34">
        <f>D41/C41</f>
        <v>1.9856123547965226E-10</v>
      </c>
    </row>
    <row r="42" spans="1:5">
      <c r="D42" s="2"/>
      <c r="E42" s="11"/>
    </row>
    <row r="43" spans="1:5">
      <c r="D43" s="2"/>
      <c r="E43" s="11"/>
    </row>
    <row r="44" spans="1:5" ht="25">
      <c r="A44" s="18" t="s">
        <v>136</v>
      </c>
      <c r="D44" s="2"/>
      <c r="E44" s="11"/>
    </row>
    <row r="45" spans="1:5" ht="25">
      <c r="A45" s="18" t="s">
        <v>135</v>
      </c>
    </row>
    <row r="48" spans="1:5">
      <c r="B48" t="s">
        <v>133</v>
      </c>
      <c r="E48" t="s">
        <v>63</v>
      </c>
    </row>
    <row r="49" spans="1:5">
      <c r="B49" t="s">
        <v>134</v>
      </c>
      <c r="C49" t="s">
        <v>56</v>
      </c>
      <c r="E49" t="s">
        <v>64</v>
      </c>
    </row>
    <row r="50" spans="1:5">
      <c r="C50" t="s">
        <v>57</v>
      </c>
      <c r="E50" t="s">
        <v>65</v>
      </c>
    </row>
    <row r="51" spans="1:5">
      <c r="A51" s="11"/>
      <c r="B51" s="11">
        <f>E41*3.9/16.7</f>
        <v>4.6370587926385857E-11</v>
      </c>
      <c r="C51" s="1">
        <v>793000000</v>
      </c>
      <c r="D51" s="23">
        <f>C51*B51</f>
        <v>3.6771876225623987E-2</v>
      </c>
      <c r="E51">
        <f>1/D51</f>
        <v>27.194696127666269</v>
      </c>
    </row>
    <row r="53" spans="1:5">
      <c r="B53" t="s">
        <v>60</v>
      </c>
    </row>
    <row r="54" spans="1:5">
      <c r="B54" t="s">
        <v>61</v>
      </c>
    </row>
    <row r="55" spans="1:5">
      <c r="B55" t="s">
        <v>62</v>
      </c>
    </row>
    <row r="59" spans="1:5" ht="20">
      <c r="A59" s="22" t="s">
        <v>204</v>
      </c>
    </row>
    <row r="60" spans="1:5" ht="20">
      <c r="A60" s="22"/>
    </row>
    <row r="61" spans="1:5">
      <c r="C61" t="s">
        <v>206</v>
      </c>
      <c r="D61" t="s">
        <v>208</v>
      </c>
      <c r="E61" t="s">
        <v>209</v>
      </c>
    </row>
    <row r="62" spans="1:5">
      <c r="B62" t="s">
        <v>205</v>
      </c>
      <c r="C62" t="s">
        <v>207</v>
      </c>
    </row>
    <row r="64" spans="1:5">
      <c r="B64" s="1">
        <v>1000000000</v>
      </c>
      <c r="C64">
        <v>365</v>
      </c>
      <c r="D64">
        <v>0.04</v>
      </c>
      <c r="E64" s="1">
        <f>B64*C64*D64</f>
        <v>14600000000</v>
      </c>
    </row>
    <row r="65" spans="2:2">
      <c r="B65" s="1"/>
    </row>
    <row r="66" spans="2:2">
      <c r="B66" s="1"/>
    </row>
    <row r="67" spans="2:2">
      <c r="B67" s="1"/>
    </row>
    <row r="68" spans="2:2">
      <c r="B68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12" sqref="B12"/>
    </sheetView>
  </sheetViews>
  <sheetFormatPr baseColWidth="10" defaultRowHeight="15" x14ac:dyDescent="0"/>
  <cols>
    <col min="1" max="1" width="52.5" customWidth="1"/>
  </cols>
  <sheetData>
    <row r="3" spans="1:2">
      <c r="A3" t="s">
        <v>230</v>
      </c>
      <c r="B3">
        <v>680</v>
      </c>
    </row>
    <row r="5" spans="1:2">
      <c r="A5" t="s">
        <v>231</v>
      </c>
      <c r="B5">
        <v>43</v>
      </c>
    </row>
    <row r="7" spans="1:2">
      <c r="A7" t="s">
        <v>232</v>
      </c>
      <c r="B7">
        <f>(B3*B5)/100</f>
        <v>292.39999999999998</v>
      </c>
    </row>
    <row r="9" spans="1:2">
      <c r="A9" t="s">
        <v>233</v>
      </c>
      <c r="B9">
        <v>14</v>
      </c>
    </row>
    <row r="10" spans="1:2">
      <c r="A10" t="s">
        <v>234</v>
      </c>
      <c r="B10">
        <f>B9/365.33</f>
        <v>3.8321517532094271E-2</v>
      </c>
    </row>
    <row r="12" spans="1:2">
      <c r="A12" t="s">
        <v>235</v>
      </c>
      <c r="B12" s="23">
        <f>B10/B7</f>
        <v>1.3105854149143048E-4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2"/>
  <sheetViews>
    <sheetView workbookViewId="0">
      <selection activeCell="C12" sqref="C12"/>
    </sheetView>
  </sheetViews>
  <sheetFormatPr baseColWidth="10" defaultRowHeight="15" x14ac:dyDescent="0"/>
  <cols>
    <col min="1" max="1" width="6.5" customWidth="1"/>
    <col min="2" max="2" width="39.33203125" customWidth="1"/>
  </cols>
  <sheetData>
    <row r="3" spans="2:3">
      <c r="B3" t="s">
        <v>238</v>
      </c>
      <c r="C3">
        <v>1.9</v>
      </c>
    </row>
    <row r="5" spans="2:3">
      <c r="B5" t="s">
        <v>236</v>
      </c>
      <c r="C5">
        <v>62</v>
      </c>
    </row>
    <row r="7" spans="2:3">
      <c r="B7" t="s">
        <v>237</v>
      </c>
      <c r="C7">
        <f>(C3*C5)/100</f>
        <v>1.1779999999999999</v>
      </c>
    </row>
    <row r="9" spans="2:3">
      <c r="B9" t="s">
        <v>233</v>
      </c>
      <c r="C9">
        <v>27.53</v>
      </c>
    </row>
    <row r="10" spans="2:3">
      <c r="B10" t="s">
        <v>234</v>
      </c>
      <c r="C10">
        <f>C9/365.33</f>
        <v>7.5356526975611099E-2</v>
      </c>
    </row>
    <row r="12" spans="2:3">
      <c r="B12" t="s">
        <v>235</v>
      </c>
      <c r="C12" s="23">
        <f>C10/C7</f>
        <v>6.3969887076070542E-2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7" workbookViewId="0">
      <selection activeCell="B35" sqref="B35"/>
    </sheetView>
  </sheetViews>
  <sheetFormatPr baseColWidth="10" defaultRowHeight="15" x14ac:dyDescent="0"/>
  <cols>
    <col min="2" max="2" width="12.1640625" bestFit="1" customWidth="1"/>
    <col min="4" max="4" width="11.1640625" bestFit="1" customWidth="1"/>
    <col min="5" max="5" width="12.1640625" bestFit="1" customWidth="1"/>
    <col min="9" max="9" width="14.83203125" customWidth="1"/>
    <col min="10" max="10" width="15" customWidth="1"/>
  </cols>
  <sheetData>
    <row r="1" spans="1:4">
      <c r="A1" t="s">
        <v>147</v>
      </c>
      <c r="D1" t="s">
        <v>146</v>
      </c>
    </row>
    <row r="2" spans="1:4">
      <c r="B2" t="s">
        <v>141</v>
      </c>
      <c r="C2" t="s">
        <v>142</v>
      </c>
    </row>
    <row r="4" spans="1:4">
      <c r="A4" t="s">
        <v>143</v>
      </c>
      <c r="B4">
        <v>970</v>
      </c>
      <c r="C4">
        <v>2700</v>
      </c>
      <c r="D4">
        <f>(B4+C4)/2</f>
        <v>1835</v>
      </c>
    </row>
    <row r="5" spans="1:4">
      <c r="A5" t="s">
        <v>144</v>
      </c>
      <c r="B5">
        <v>37</v>
      </c>
      <c r="C5">
        <v>120</v>
      </c>
      <c r="D5">
        <f t="shared" ref="D5:D6" si="0">(B5+C5)/2</f>
        <v>78.5</v>
      </c>
    </row>
    <row r="6" spans="1:4">
      <c r="A6" t="s">
        <v>145</v>
      </c>
      <c r="B6">
        <v>170</v>
      </c>
      <c r="C6">
        <v>400</v>
      </c>
      <c r="D6">
        <f t="shared" si="0"/>
        <v>285</v>
      </c>
    </row>
    <row r="8" spans="1:4">
      <c r="A8" t="s">
        <v>40</v>
      </c>
      <c r="D8">
        <f>D6+D5+D4</f>
        <v>2198.5</v>
      </c>
    </row>
    <row r="10" spans="1:4">
      <c r="A10" t="s">
        <v>152</v>
      </c>
    </row>
    <row r="11" spans="1:4">
      <c r="B11" t="s">
        <v>149</v>
      </c>
      <c r="C11" t="s">
        <v>150</v>
      </c>
      <c r="D11" t="s">
        <v>151</v>
      </c>
    </row>
    <row r="12" spans="1:4">
      <c r="B12">
        <v>158</v>
      </c>
      <c r="C12">
        <f>B12/1000</f>
        <v>0.158</v>
      </c>
      <c r="D12">
        <f>C12*1000</f>
        <v>158</v>
      </c>
    </row>
    <row r="14" spans="1:4">
      <c r="A14" t="s">
        <v>148</v>
      </c>
    </row>
    <row r="15" spans="1:4">
      <c r="B15" t="s">
        <v>0</v>
      </c>
      <c r="C15" t="s">
        <v>153</v>
      </c>
    </row>
    <row r="16" spans="1:4">
      <c r="B16">
        <f>D12/D8</f>
        <v>7.1867182169661134E-2</v>
      </c>
      <c r="C16">
        <f>B16*1000</f>
        <v>71.867182169661135</v>
      </c>
    </row>
    <row r="19" spans="1:6">
      <c r="A19" t="s">
        <v>154</v>
      </c>
    </row>
    <row r="20" spans="1:6">
      <c r="F20" t="s">
        <v>159</v>
      </c>
    </row>
    <row r="21" spans="1:6">
      <c r="B21" t="s">
        <v>155</v>
      </c>
      <c r="C21" t="s">
        <v>155</v>
      </c>
      <c r="D21" t="s">
        <v>157</v>
      </c>
      <c r="E21" t="s">
        <v>158</v>
      </c>
    </row>
    <row r="22" spans="1:6">
      <c r="B22" t="s">
        <v>149</v>
      </c>
      <c r="C22" t="s">
        <v>156</v>
      </c>
      <c r="E22" t="s">
        <v>105</v>
      </c>
    </row>
    <row r="24" spans="1:6">
      <c r="B24">
        <v>136.19999999999999</v>
      </c>
      <c r="C24">
        <f>B24*1000*1000000</f>
        <v>136200000000</v>
      </c>
      <c r="D24">
        <v>7100000000</v>
      </c>
      <c r="E24">
        <f>C24/D24</f>
        <v>19.183098591549296</v>
      </c>
    </row>
    <row r="26" spans="1:6">
      <c r="A26" t="s">
        <v>160</v>
      </c>
    </row>
    <row r="28" spans="1:6">
      <c r="B28" t="s">
        <v>161</v>
      </c>
    </row>
    <row r="29" spans="1:6">
      <c r="B29" t="s">
        <v>162</v>
      </c>
      <c r="C29" t="s">
        <v>6</v>
      </c>
    </row>
    <row r="31" spans="1:6">
      <c r="B31">
        <v>27.4</v>
      </c>
      <c r="C31">
        <f>B31/365.33</f>
        <v>7.5000684312813079E-2</v>
      </c>
    </row>
    <row r="33" spans="1:2">
      <c r="A33" t="s">
        <v>163</v>
      </c>
    </row>
    <row r="35" spans="1:2">
      <c r="B35" s="23">
        <f>C31/B16</f>
        <v>1.0436012940615162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9" workbookViewId="0">
      <selection activeCell="B26" sqref="B26:C29"/>
    </sheetView>
  </sheetViews>
  <sheetFormatPr baseColWidth="10" defaultRowHeight="15" x14ac:dyDescent="0"/>
  <cols>
    <col min="3" max="3" width="15.5" customWidth="1"/>
    <col min="4" max="5" width="22" customWidth="1"/>
    <col min="6" max="6" width="18.33203125" customWidth="1"/>
    <col min="7" max="10" width="25" customWidth="1"/>
    <col min="11" max="11" width="20.5" customWidth="1"/>
    <col min="16" max="16" width="17.83203125" customWidth="1"/>
  </cols>
  <sheetData>
    <row r="1" spans="1:18">
      <c r="A1" t="s">
        <v>91</v>
      </c>
    </row>
    <row r="2" spans="1:18">
      <c r="C2" t="s">
        <v>101</v>
      </c>
      <c r="D2" t="s">
        <v>101</v>
      </c>
      <c r="K2" t="s">
        <v>106</v>
      </c>
    </row>
    <row r="3" spans="1:18">
      <c r="A3" t="s">
        <v>100</v>
      </c>
    </row>
    <row r="4" spans="1:18">
      <c r="A4" t="s">
        <v>92</v>
      </c>
      <c r="C4" t="s">
        <v>95</v>
      </c>
      <c r="D4" t="s">
        <v>98</v>
      </c>
      <c r="F4" t="s">
        <v>102</v>
      </c>
      <c r="G4" t="s">
        <v>102</v>
      </c>
      <c r="K4" t="s">
        <v>104</v>
      </c>
      <c r="L4" t="s">
        <v>108</v>
      </c>
      <c r="N4" t="s">
        <v>98</v>
      </c>
      <c r="P4" t="s">
        <v>110</v>
      </c>
    </row>
    <row r="5" spans="1:18">
      <c r="A5" t="s">
        <v>94</v>
      </c>
      <c r="C5" t="s">
        <v>96</v>
      </c>
      <c r="D5" t="s">
        <v>99</v>
      </c>
      <c r="F5" t="s">
        <v>103</v>
      </c>
      <c r="G5" t="s">
        <v>103</v>
      </c>
      <c r="K5" t="s">
        <v>105</v>
      </c>
      <c r="M5" t="s">
        <v>55</v>
      </c>
      <c r="N5" t="s">
        <v>109</v>
      </c>
    </row>
    <row r="6" spans="1:18">
      <c r="A6" t="s">
        <v>93</v>
      </c>
      <c r="C6" t="s">
        <v>97</v>
      </c>
      <c r="D6" t="s">
        <v>97</v>
      </c>
      <c r="F6" t="s">
        <v>97</v>
      </c>
      <c r="G6" t="s">
        <v>107</v>
      </c>
      <c r="K6" t="s">
        <v>107</v>
      </c>
      <c r="L6" t="s">
        <v>112</v>
      </c>
      <c r="N6" t="s">
        <v>12</v>
      </c>
      <c r="P6" t="s">
        <v>113</v>
      </c>
      <c r="Q6" t="s">
        <v>112</v>
      </c>
    </row>
    <row r="8" spans="1:18">
      <c r="A8">
        <v>10.398</v>
      </c>
      <c r="C8">
        <v>3.36</v>
      </c>
      <c r="D8">
        <v>1.45</v>
      </c>
      <c r="F8">
        <f>C8+(D8*0.25)</f>
        <v>3.7224999999999997</v>
      </c>
      <c r="G8" s="1">
        <f>F8*1000000000</f>
        <v>3722499999.9999995</v>
      </c>
      <c r="H8" s="1"/>
      <c r="I8" s="1"/>
      <c r="J8" s="1"/>
      <c r="K8" s="1">
        <v>18500000</v>
      </c>
      <c r="L8" s="14">
        <f>K8*0.74</f>
        <v>13690000</v>
      </c>
      <c r="M8" s="13">
        <f>L8/G8</f>
        <v>3.6776359973136339E-3</v>
      </c>
      <c r="N8">
        <f>A8*M8</f>
        <v>3.8240059100067163E-2</v>
      </c>
      <c r="P8">
        <f>N8*7200000000*365</f>
        <v>100494875314.9765</v>
      </c>
      <c r="Q8" s="14">
        <f>P8/10000</f>
        <v>10049487.53149765</v>
      </c>
      <c r="R8" s="15" t="s">
        <v>111</v>
      </c>
    </row>
    <row r="12" spans="1:18">
      <c r="A12" t="s">
        <v>114</v>
      </c>
      <c r="D12" t="s">
        <v>115</v>
      </c>
      <c r="F12" t="s">
        <v>117</v>
      </c>
    </row>
    <row r="13" spans="1:18">
      <c r="C13" t="s">
        <v>12</v>
      </c>
      <c r="D13" t="s">
        <v>116</v>
      </c>
      <c r="F13" t="s">
        <v>118</v>
      </c>
    </row>
    <row r="14" spans="1:18">
      <c r="C14" s="16">
        <v>10.398</v>
      </c>
      <c r="D14">
        <f>10000/C14</f>
        <v>961.72340834775923</v>
      </c>
      <c r="F14">
        <f>1000000/C14</f>
        <v>96172.340834775925</v>
      </c>
    </row>
    <row r="18" spans="1:19">
      <c r="B18" t="s">
        <v>119</v>
      </c>
      <c r="C18" t="s">
        <v>71</v>
      </c>
      <c r="D18" t="s">
        <v>120</v>
      </c>
    </row>
    <row r="19" spans="1:19">
      <c r="C19" s="1">
        <f>100*100</f>
        <v>10000</v>
      </c>
      <c r="D19" s="1">
        <f>C19*100</f>
        <v>1000000</v>
      </c>
      <c r="E19" s="1"/>
    </row>
    <row r="21" spans="1:19">
      <c r="D21" t="s">
        <v>173</v>
      </c>
    </row>
    <row r="22" spans="1:19">
      <c r="A22" s="1"/>
      <c r="B22" s="1"/>
      <c r="C22" s="1"/>
      <c r="D22" t="s">
        <v>7</v>
      </c>
      <c r="E22" t="s">
        <v>172</v>
      </c>
      <c r="F22" t="s">
        <v>7</v>
      </c>
      <c r="G22" t="s">
        <v>7</v>
      </c>
      <c r="H22" t="s">
        <v>169</v>
      </c>
      <c r="I22" t="s">
        <v>170</v>
      </c>
      <c r="J22" t="s">
        <v>171</v>
      </c>
      <c r="K22" s="1"/>
      <c r="L22" s="1"/>
      <c r="M22" s="1"/>
      <c r="N22" s="1"/>
      <c r="O22" s="1" t="s">
        <v>19</v>
      </c>
      <c r="P22" s="6"/>
      <c r="Q22" s="6"/>
      <c r="R22" s="7" t="s">
        <v>18</v>
      </c>
    </row>
    <row r="23" spans="1:19">
      <c r="A23" s="1"/>
      <c r="B23" s="1"/>
      <c r="C23" s="1" t="s">
        <v>6</v>
      </c>
      <c r="D23" t="s">
        <v>166</v>
      </c>
      <c r="F23" t="s">
        <v>166</v>
      </c>
      <c r="G23" t="s">
        <v>167</v>
      </c>
      <c r="H23" t="s">
        <v>174</v>
      </c>
      <c r="K23" s="1" t="s">
        <v>7</v>
      </c>
      <c r="L23" s="1" t="s">
        <v>10</v>
      </c>
      <c r="M23" s="1" t="s">
        <v>12</v>
      </c>
      <c r="N23" s="1"/>
      <c r="O23" s="1" t="s">
        <v>6</v>
      </c>
      <c r="P23" s="1" t="s">
        <v>20</v>
      </c>
      <c r="Q23" s="1"/>
      <c r="R23" s="1" t="s">
        <v>10</v>
      </c>
      <c r="S23" s="1" t="s">
        <v>12</v>
      </c>
    </row>
    <row r="24" spans="1:19">
      <c r="A24" s="1" t="s">
        <v>1</v>
      </c>
      <c r="B24" s="1"/>
      <c r="C24" s="1"/>
      <c r="D24" t="s">
        <v>164</v>
      </c>
      <c r="F24" t="s">
        <v>165</v>
      </c>
      <c r="G24" t="s">
        <v>165</v>
      </c>
      <c r="K24" s="1" t="s">
        <v>8</v>
      </c>
      <c r="L24" s="1" t="s">
        <v>9</v>
      </c>
      <c r="M24" s="1"/>
      <c r="N24" s="1"/>
      <c r="O24" s="1"/>
      <c r="P24" s="1" t="s">
        <v>21</v>
      </c>
      <c r="Q24" s="1"/>
      <c r="R24" s="1" t="s">
        <v>9</v>
      </c>
      <c r="S24" s="1"/>
    </row>
    <row r="25" spans="1:19">
      <c r="A25" s="1"/>
      <c r="B25" s="1"/>
      <c r="C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 t="s">
        <v>2</v>
      </c>
      <c r="C26" s="2">
        <v>3.7999999999999999E-2</v>
      </c>
      <c r="D26">
        <v>3635</v>
      </c>
      <c r="E26">
        <v>242</v>
      </c>
      <c r="F26">
        <f>D26-E26</f>
        <v>3393</v>
      </c>
      <c r="G26">
        <f>F26*12/365</f>
        <v>111.55068493150685</v>
      </c>
      <c r="H26">
        <f>C26*G26</f>
        <v>4.2389260273972607</v>
      </c>
      <c r="I26" s="1">
        <f>G26*400</f>
        <v>44620.273972602743</v>
      </c>
      <c r="J26" s="1">
        <f>I26/10000</f>
        <v>4.4620273972602744</v>
      </c>
      <c r="K26" s="3">
        <v>1.4E-2</v>
      </c>
      <c r="L26" s="4">
        <f>C26*K26</f>
        <v>5.3200000000000003E-4</v>
      </c>
      <c r="M26" s="5">
        <f>L26*10000</f>
        <v>5.32</v>
      </c>
      <c r="N26" s="1"/>
      <c r="O26" s="2">
        <v>3.7999999999999999E-2</v>
      </c>
      <c r="P26" s="3">
        <v>250</v>
      </c>
      <c r="Q26" s="3"/>
      <c r="R26" s="4">
        <f>O26*P26</f>
        <v>9.5</v>
      </c>
      <c r="S26" s="5">
        <f>R26</f>
        <v>9.5</v>
      </c>
    </row>
    <row r="27" spans="1:19">
      <c r="A27" s="1"/>
      <c r="B27" s="1" t="s">
        <v>3</v>
      </c>
      <c r="C27" s="2">
        <v>0.06</v>
      </c>
      <c r="D27">
        <v>290</v>
      </c>
      <c r="E27">
        <v>186</v>
      </c>
      <c r="F27">
        <f t="shared" ref="F27:F28" si="0">D27-E27</f>
        <v>104</v>
      </c>
      <c r="G27">
        <f>F27*12/365</f>
        <v>3.419178082191781</v>
      </c>
      <c r="H27">
        <f t="shared" ref="H27:H29" si="1">C27*G27</f>
        <v>0.20515068493150684</v>
      </c>
      <c r="I27" s="1"/>
      <c r="J27" s="1"/>
      <c r="K27" s="3">
        <v>4.1000000000000003E-3</v>
      </c>
      <c r="L27" s="4">
        <f>C27*K27</f>
        <v>2.4600000000000002E-4</v>
      </c>
      <c r="M27" s="5">
        <f>L27*10000</f>
        <v>2.46</v>
      </c>
      <c r="N27" s="1"/>
      <c r="O27" s="2">
        <v>0.06</v>
      </c>
      <c r="P27" s="3">
        <v>90</v>
      </c>
      <c r="Q27" s="3"/>
      <c r="R27" s="4">
        <f>O27*P27</f>
        <v>5.3999999999999995</v>
      </c>
      <c r="S27" s="5">
        <f>R27</f>
        <v>5.3999999999999995</v>
      </c>
    </row>
    <row r="28" spans="1:19">
      <c r="A28" s="1"/>
      <c r="B28" s="1" t="s">
        <v>4</v>
      </c>
      <c r="C28" s="2">
        <v>7.4999999999999997E-2</v>
      </c>
      <c r="D28">
        <v>272</v>
      </c>
      <c r="E28">
        <v>149</v>
      </c>
      <c r="F28">
        <f t="shared" si="0"/>
        <v>123</v>
      </c>
      <c r="G28">
        <f>F28*12/365</f>
        <v>4.043835616438356</v>
      </c>
      <c r="H28">
        <f t="shared" si="1"/>
        <v>0.3032876712328767</v>
      </c>
      <c r="I28" s="1"/>
      <c r="J28" s="1"/>
      <c r="K28" s="3">
        <v>2.8E-3</v>
      </c>
      <c r="L28" s="4">
        <f>C28*K28</f>
        <v>2.0999999999999998E-4</v>
      </c>
      <c r="M28" s="5">
        <f>L28*10000</f>
        <v>2.0999999999999996</v>
      </c>
      <c r="N28" s="1"/>
      <c r="O28" s="2">
        <v>7.4999999999999997E-2</v>
      </c>
      <c r="P28" s="3">
        <v>14</v>
      </c>
      <c r="Q28" s="3"/>
      <c r="R28" s="4">
        <f>O28*P28</f>
        <v>1.05</v>
      </c>
      <c r="S28" s="5">
        <f>R28</f>
        <v>1.05</v>
      </c>
    </row>
    <row r="29" spans="1:19">
      <c r="B29" s="20" t="s">
        <v>5</v>
      </c>
      <c r="C29" s="21">
        <v>3.7000000000000002E-3</v>
      </c>
      <c r="D29" s="19">
        <v>2000</v>
      </c>
      <c r="E29" s="19">
        <v>242</v>
      </c>
      <c r="F29" s="15">
        <f>D29-E29</f>
        <v>1758</v>
      </c>
      <c r="G29">
        <f>F29*12/365</f>
        <v>57.797260273972604</v>
      </c>
      <c r="H29">
        <f t="shared" si="1"/>
        <v>0.21384986301369865</v>
      </c>
      <c r="I29" s="1"/>
      <c r="J29" s="1"/>
      <c r="K29" s="3">
        <v>1.4E-2</v>
      </c>
      <c r="L29" s="4">
        <f>C29*K29</f>
        <v>5.1800000000000005E-5</v>
      </c>
      <c r="M29" s="5">
        <f>L29*10000</f>
        <v>0.51800000000000002</v>
      </c>
      <c r="O29" s="2">
        <v>3.7000000000000002E-3</v>
      </c>
      <c r="P29" s="3">
        <v>250</v>
      </c>
      <c r="Q29" s="3"/>
      <c r="R29" s="4">
        <f>O29*P29</f>
        <v>0.92500000000000004</v>
      </c>
      <c r="S29" s="5">
        <f>R29</f>
        <v>0.92500000000000004</v>
      </c>
    </row>
    <row r="30" spans="1:19">
      <c r="D30" s="19" t="s">
        <v>187</v>
      </c>
      <c r="F30" t="s">
        <v>168</v>
      </c>
    </row>
    <row r="31" spans="1:19">
      <c r="A31" s="1" t="s">
        <v>186</v>
      </c>
      <c r="D31" s="15"/>
    </row>
    <row r="32" spans="1:19">
      <c r="C32" s="2">
        <f>SUM(C26:C29)</f>
        <v>0.1767</v>
      </c>
      <c r="D32" s="15">
        <v>83</v>
      </c>
      <c r="E32">
        <v>37</v>
      </c>
      <c r="F32">
        <f>D32-E32</f>
        <v>46</v>
      </c>
      <c r="G32">
        <f>F32*12/365</f>
        <v>1.5123287671232877</v>
      </c>
      <c r="H32">
        <f>C32*G32</f>
        <v>0.26722849315068492</v>
      </c>
    </row>
    <row r="33" spans="2:18">
      <c r="B33" s="19" t="s">
        <v>188</v>
      </c>
      <c r="C33" s="19"/>
      <c r="D33" s="19"/>
      <c r="E33" s="19"/>
      <c r="F33" s="19"/>
    </row>
    <row r="35" spans="2:18">
      <c r="D35" t="s">
        <v>11</v>
      </c>
      <c r="G35" s="9" t="s">
        <v>40</v>
      </c>
      <c r="H35" s="23">
        <f>(H26+H27+H28+H29)-H32</f>
        <v>4.6939857534246574</v>
      </c>
      <c r="K35" s="4">
        <f>SUM(L26:L29)</f>
        <v>1.0398E-3</v>
      </c>
      <c r="L35" s="4">
        <f>SUM(M26:M29)</f>
        <v>10.398</v>
      </c>
      <c r="O35" t="s">
        <v>11</v>
      </c>
      <c r="Q35" s="4">
        <f>SUM(R26:R29)</f>
        <v>16.875</v>
      </c>
      <c r="R35" s="4">
        <f>SUM(S26:S29)</f>
        <v>16.875</v>
      </c>
    </row>
    <row r="37" spans="2:18">
      <c r="C37" t="s">
        <v>13</v>
      </c>
      <c r="G37">
        <f>10000/L35</f>
        <v>961.72340834775923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23" sqref="G23"/>
    </sheetView>
  </sheetViews>
  <sheetFormatPr baseColWidth="10" defaultRowHeight="15" x14ac:dyDescent="0"/>
  <cols>
    <col min="4" max="4" width="16.83203125" customWidth="1"/>
    <col min="5" max="5" width="22" customWidth="1"/>
    <col min="6" max="6" width="19.33203125" customWidth="1"/>
  </cols>
  <sheetData>
    <row r="1" spans="1:6">
      <c r="A1" t="s">
        <v>193</v>
      </c>
      <c r="D1" t="s">
        <v>200</v>
      </c>
    </row>
    <row r="3" spans="1:6">
      <c r="C3" s="1" t="s">
        <v>6</v>
      </c>
      <c r="D3" t="s">
        <v>15</v>
      </c>
      <c r="E3" t="s">
        <v>7</v>
      </c>
      <c r="F3" t="s">
        <v>169</v>
      </c>
    </row>
    <row r="4" spans="1:6">
      <c r="C4" s="1"/>
      <c r="D4" t="s">
        <v>17</v>
      </c>
      <c r="E4" t="s">
        <v>167</v>
      </c>
      <c r="F4" t="s">
        <v>174</v>
      </c>
    </row>
    <row r="5" spans="1:6">
      <c r="C5" s="1"/>
      <c r="D5" t="s">
        <v>178</v>
      </c>
      <c r="E5" t="s">
        <v>165</v>
      </c>
    </row>
    <row r="6" spans="1:6">
      <c r="B6" s="1" t="s">
        <v>2</v>
      </c>
      <c r="C6" s="2">
        <v>3.7999999999999999E-2</v>
      </c>
      <c r="D6">
        <v>242</v>
      </c>
      <c r="E6">
        <f>D6*12/365</f>
        <v>7.956164383561644</v>
      </c>
      <c r="F6">
        <f>C6*E6</f>
        <v>0.30233424657534247</v>
      </c>
    </row>
    <row r="7" spans="1:6">
      <c r="B7" s="1" t="s">
        <v>3</v>
      </c>
      <c r="C7" s="2">
        <v>0.06</v>
      </c>
      <c r="D7">
        <v>186</v>
      </c>
      <c r="E7">
        <f t="shared" ref="E7:E13" si="0">D7*12/365</f>
        <v>6.1150684931506847</v>
      </c>
      <c r="F7">
        <f t="shared" ref="F7:F10" si="1">C7*E7</f>
        <v>0.36690410958904107</v>
      </c>
    </row>
    <row r="8" spans="1:6">
      <c r="B8" s="1" t="s">
        <v>4</v>
      </c>
      <c r="C8" s="2">
        <v>7.4999999999999997E-2</v>
      </c>
      <c r="D8">
        <v>149</v>
      </c>
      <c r="E8">
        <f t="shared" si="0"/>
        <v>4.8986301369863012</v>
      </c>
      <c r="F8">
        <f t="shared" si="1"/>
        <v>0.36739726027397257</v>
      </c>
    </row>
    <row r="9" spans="1:6">
      <c r="B9" s="1" t="s">
        <v>5</v>
      </c>
      <c r="C9" s="2">
        <v>3.7000000000000002E-3</v>
      </c>
      <c r="D9">
        <v>242</v>
      </c>
      <c r="E9">
        <f t="shared" si="0"/>
        <v>7.956164383561644</v>
      </c>
      <c r="F9">
        <f t="shared" si="1"/>
        <v>2.9437808219178085E-2</v>
      </c>
    </row>
    <row r="10" spans="1:6">
      <c r="B10" s="1" t="s">
        <v>14</v>
      </c>
      <c r="C10" s="2">
        <v>5.8999999999999997E-2</v>
      </c>
      <c r="D10">
        <v>279</v>
      </c>
      <c r="E10">
        <f t="shared" si="0"/>
        <v>9.1726027397260275</v>
      </c>
      <c r="F10">
        <f t="shared" si="1"/>
        <v>0.54118356164383563</v>
      </c>
    </row>
    <row r="11" spans="1:6">
      <c r="B11" s="1"/>
      <c r="C11" s="2"/>
    </row>
    <row r="12" spans="1:6">
      <c r="A12" t="s">
        <v>189</v>
      </c>
      <c r="B12" s="1"/>
      <c r="C12" s="2"/>
    </row>
    <row r="13" spans="1:6">
      <c r="B13" s="1"/>
      <c r="C13" s="2">
        <f>SUM(C6:C10)</f>
        <v>0.23569999999999999</v>
      </c>
      <c r="D13">
        <v>37</v>
      </c>
      <c r="E13">
        <f t="shared" si="0"/>
        <v>1.2164383561643837</v>
      </c>
      <c r="F13">
        <f>C13*E13</f>
        <v>0.28671452054794522</v>
      </c>
    </row>
    <row r="15" spans="1:6">
      <c r="E15" t="s">
        <v>190</v>
      </c>
      <c r="F15">
        <f>(F6+F7+F8+F9+F10)-F13</f>
        <v>1.3205424657534248</v>
      </c>
    </row>
    <row r="16" spans="1:6">
      <c r="F16" t="s">
        <v>191</v>
      </c>
    </row>
    <row r="17" spans="1:8">
      <c r="F17" t="s">
        <v>192</v>
      </c>
    </row>
    <row r="18" spans="1:8">
      <c r="A18" t="s">
        <v>194</v>
      </c>
      <c r="D18" t="s">
        <v>15</v>
      </c>
      <c r="E18" t="s">
        <v>7</v>
      </c>
    </row>
    <row r="19" spans="1:8">
      <c r="D19" t="s">
        <v>17</v>
      </c>
      <c r="E19" t="s">
        <v>167</v>
      </c>
      <c r="F19" t="s">
        <v>196</v>
      </c>
      <c r="G19" t="s">
        <v>197</v>
      </c>
    </row>
    <row r="20" spans="1:8">
      <c r="D20" t="s">
        <v>178</v>
      </c>
      <c r="E20" t="s">
        <v>165</v>
      </c>
      <c r="G20" t="s">
        <v>198</v>
      </c>
    </row>
    <row r="21" spans="1:8">
      <c r="D21" t="s">
        <v>195</v>
      </c>
      <c r="G21" t="s">
        <v>199</v>
      </c>
    </row>
    <row r="23" spans="1:8">
      <c r="D23">
        <v>89</v>
      </c>
      <c r="E23">
        <f>D23*12/365</f>
        <v>2.9260273972602739</v>
      </c>
      <c r="F23">
        <f>F15/E23</f>
        <v>0.45130898876404502</v>
      </c>
      <c r="G23" s="32">
        <f>(100*F23)/8</f>
        <v>5.6413623595505626</v>
      </c>
      <c r="H23" s="23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Summary sheet</vt:lpstr>
      <vt:lpstr>1 Longevity</vt:lpstr>
      <vt:lpstr>2 Saving Money</vt:lpstr>
      <vt:lpstr>3 Malnutrition</vt:lpstr>
      <vt:lpstr>4 Cows</vt:lpstr>
      <vt:lpstr>5 Chickens</vt:lpstr>
      <vt:lpstr>6  Fish</vt:lpstr>
      <vt:lpstr>7 Forest</vt:lpstr>
      <vt:lpstr>8 Greenhouse</vt:lpstr>
      <vt:lpstr>9 water</vt:lpstr>
      <vt:lpstr>10 Marine reserve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Darwin</dc:creator>
  <cp:lastModifiedBy>Chris Darwin</cp:lastModifiedBy>
  <dcterms:created xsi:type="dcterms:W3CDTF">2017-02-19T04:22:40Z</dcterms:created>
  <dcterms:modified xsi:type="dcterms:W3CDTF">2017-05-29T12:56:39Z</dcterms:modified>
</cp:coreProperties>
</file>