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8"/>
  <workbookPr autoCompressPictures="0"/>
  <mc:AlternateContent xmlns:mc="http://schemas.openxmlformats.org/markup-compatibility/2006">
    <mc:Choice Requires="x15">
      <x15ac:absPath xmlns:x15ac="http://schemas.microsoft.com/office/spreadsheetml/2010/11/ac" url="/The Darwin Challenge/Metrics/ 1 App Metrics/Impact per MFD/"/>
    </mc:Choice>
  </mc:AlternateContent>
  <xr:revisionPtr revIDLastSave="0" documentId="13_ncr:1_{4B3D200A-2EFC-2C4C-A239-46110754A8E7}" xr6:coauthVersionLast="45" xr6:coauthVersionMax="45" xr10:uidLastSave="{00000000-0000-0000-0000-000000000000}"/>
  <bookViews>
    <workbookView xWindow="1000" yWindow="1140" windowWidth="36920" windowHeight="20540" tabRatio="500" xr2:uid="{00000000-000D-0000-FFFF-FFFF00000000}"/>
  </bookViews>
  <sheets>
    <sheet name="Summary sheet" sheetId="1" r:id="rId1"/>
    <sheet name="1 Longevity" sheetId="2" r:id="rId2"/>
    <sheet name="Cancer" sheetId="31" r:id="rId3"/>
    <sheet name="Diabetes" sheetId="24" r:id="rId4"/>
    <sheet name="2 Saving Money" sheetId="3" r:id="rId5"/>
    <sheet name="3 Malnutrition" sheetId="4" r:id="rId6"/>
    <sheet name="4 Cows" sheetId="5" r:id="rId7"/>
    <sheet name="4.5 Pigs" sheetId="15" r:id="rId8"/>
    <sheet name="4.7 Lamb" sheetId="17" r:id="rId9"/>
    <sheet name="5 Chickens" sheetId="6" r:id="rId10"/>
    <sheet name="6  Fish" sheetId="7" r:id="rId11"/>
    <sheet name="7 Forest" sheetId="8" r:id="rId12"/>
    <sheet name="Population" sheetId="25" r:id="rId13"/>
    <sheet name="8 Greenhouse" sheetId="9" r:id="rId14"/>
    <sheet name="9 water" sheetId="10" r:id="rId15"/>
    <sheet name="OECD" sheetId="11" r:id="rId16"/>
    <sheet name="10 Marine reserve" sheetId="12" r:id="rId17"/>
    <sheet name="Cost per MFD" sheetId="13" r:id="rId18"/>
    <sheet name="INspired MFD" sheetId="14" r:id="rId19"/>
    <sheet name="Halt increase" sheetId="16" r:id="rId20"/>
    <sheet name="Annual increase" sheetId="18" r:id="rId21"/>
    <sheet name="15Y Quest" sheetId="19" r:id="rId22"/>
    <sheet name="20Y Quest" sheetId="27" r:id="rId23"/>
    <sheet name="Dairy" sheetId="28" r:id="rId24"/>
    <sheet name="Sheet3" sheetId="29" r:id="rId25"/>
    <sheet name="Everyday Heroes" sheetId="26" r:id="rId26"/>
    <sheet name="2022 Target" sheetId="23" r:id="rId27"/>
    <sheet name="COVID" sheetId="20" r:id="rId28"/>
    <sheet name="2020 Impact$ &amp; hours" sheetId="21" r:id="rId29"/>
    <sheet name="UK" sheetId="22" r:id="rId30"/>
    <sheet name="Increase in MFD to hit target" sheetId="30" r:id="rId3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6" i="28" l="1"/>
  <c r="C7" i="28"/>
  <c r="C8" i="28" s="1"/>
  <c r="C9" i="28" s="1"/>
  <c r="C10" i="28" s="1"/>
  <c r="C11" i="28" s="1"/>
  <c r="C12" i="28" s="1"/>
  <c r="C13" i="28" s="1"/>
  <c r="C14" i="28" s="1"/>
  <c r="C15" i="28" s="1"/>
  <c r="C16" i="28" s="1"/>
  <c r="C17" i="28" s="1"/>
  <c r="C18" i="28" s="1"/>
  <c r="C19" i="28" s="1"/>
  <c r="C20" i="28" s="1"/>
  <c r="C21" i="28" s="1"/>
  <c r="C22" i="28" s="1"/>
  <c r="C23" i="28" s="1"/>
  <c r="C24" i="28" s="1"/>
  <c r="C25" i="28" s="1"/>
  <c r="C26" i="28" s="1"/>
  <c r="C27" i="28" s="1"/>
  <c r="C28" i="28" s="1"/>
  <c r="C29" i="28" s="1"/>
  <c r="C30" i="28" s="1"/>
  <c r="C31" i="28" s="1"/>
  <c r="C32" i="28" s="1"/>
  <c r="C33" i="28" s="1"/>
  <c r="C34" i="28" s="1"/>
  <c r="C35" i="28" s="1"/>
  <c r="C36" i="28" s="1"/>
  <c r="C37" i="28" s="1"/>
  <c r="C38" i="28" s="1"/>
  <c r="C39" i="28" s="1"/>
  <c r="C40" i="28" s="1"/>
  <c r="C41" i="28" s="1"/>
  <c r="C42" i="28" s="1"/>
  <c r="C43" i="28" s="1"/>
  <c r="C44" i="28" s="1"/>
  <c r="C45" i="28" s="1"/>
  <c r="C46" i="28" s="1"/>
  <c r="C47" i="28" s="1"/>
  <c r="C48" i="28" s="1"/>
  <c r="C6" i="28"/>
  <c r="D85" i="8" l="1"/>
  <c r="C85" i="8"/>
  <c r="B85" i="8"/>
  <c r="E45" i="1"/>
  <c r="I87" i="1" l="1"/>
  <c r="I84" i="1"/>
  <c r="I81" i="1"/>
  <c r="I79" i="1"/>
  <c r="E35" i="1" l="1"/>
  <c r="D2" i="31" l="1"/>
  <c r="B10" i="31" s="1"/>
  <c r="D10" i="31" s="1"/>
  <c r="H9" i="19" l="1"/>
  <c r="B10" i="19" l="1"/>
  <c r="J10" i="19"/>
  <c r="E23" i="1" l="1"/>
  <c r="E21" i="1"/>
  <c r="E19" i="1"/>
  <c r="D3" i="30"/>
  <c r="D4" i="30"/>
  <c r="E3" i="30" l="1"/>
  <c r="B4" i="30"/>
  <c r="E4" i="30"/>
  <c r="G4" i="30" s="1"/>
  <c r="F5" i="30" s="1"/>
  <c r="G5" i="30" s="1"/>
  <c r="F6" i="30" s="1"/>
  <c r="G6" i="30" s="1"/>
  <c r="C4" i="30" l="1"/>
  <c r="B5" i="30" s="1"/>
  <c r="D5" i="30"/>
  <c r="J9" i="19"/>
  <c r="E5" i="30" l="1"/>
  <c r="D6" i="30"/>
  <c r="E6" i="30" s="1"/>
  <c r="C5" i="30"/>
  <c r="B6" i="30" s="1"/>
  <c r="AS29" i="19"/>
  <c r="AS28" i="19"/>
  <c r="AS27" i="19"/>
  <c r="AS26" i="19"/>
  <c r="AS25" i="19"/>
  <c r="AS24" i="19"/>
  <c r="AS23" i="19"/>
  <c r="AS22" i="19"/>
  <c r="AS21" i="19"/>
  <c r="AS20" i="19"/>
  <c r="AS19" i="19"/>
  <c r="AS18" i="19"/>
  <c r="AS17" i="19"/>
  <c r="AS16" i="19"/>
  <c r="AS15" i="19"/>
  <c r="AS14" i="19"/>
  <c r="AS13" i="19"/>
  <c r="AS12" i="19"/>
  <c r="AS11" i="19"/>
  <c r="AS10" i="19"/>
  <c r="AS3" i="19"/>
  <c r="C6" i="30" l="1"/>
  <c r="AB8" i="19"/>
  <c r="U6" i="19" l="1"/>
  <c r="V25" i="19"/>
  <c r="O5" i="26" l="1"/>
  <c r="T5" i="26" l="1"/>
  <c r="U5" i="26" s="1"/>
  <c r="P5" i="26"/>
  <c r="Q5" i="26"/>
  <c r="R5" i="26" s="1"/>
  <c r="K5" i="26" l="1"/>
  <c r="I5" i="26"/>
  <c r="F5" i="26"/>
  <c r="E5" i="26" s="1"/>
  <c r="C5" i="26" l="1"/>
  <c r="I2" i="21"/>
  <c r="H2" i="21"/>
  <c r="D11" i="21"/>
  <c r="C20" i="1" l="1"/>
  <c r="C26" i="1"/>
  <c r="E24" i="1" l="1"/>
  <c r="C2" i="25" l="1"/>
  <c r="B5" i="24" l="1"/>
  <c r="C5" i="24" s="1"/>
  <c r="E5" i="11"/>
  <c r="C12" i="11"/>
  <c r="O4" i="23" l="1"/>
  <c r="N4" i="23"/>
  <c r="L4" i="23"/>
  <c r="A11" i="23"/>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D4" i="23"/>
  <c r="H2" i="23"/>
  <c r="E4" i="23"/>
  <c r="C4" i="23" s="1"/>
  <c r="F4" i="23" s="1"/>
  <c r="I4" i="23" s="1"/>
  <c r="B6" i="19" l="1"/>
  <c r="J6" i="19" s="1"/>
  <c r="F5" i="19"/>
  <c r="L6" i="19"/>
  <c r="N6" i="19" s="1"/>
  <c r="AB7" i="19" s="1"/>
  <c r="V7" i="19" s="1"/>
  <c r="U7" i="19" s="1"/>
  <c r="B9" i="19"/>
  <c r="B8" i="19"/>
  <c r="F8" i="19" s="1"/>
  <c r="B7" i="19"/>
  <c r="J7" i="19" s="1"/>
  <c r="L9" i="19"/>
  <c r="L8" i="19"/>
  <c r="L7" i="19"/>
  <c r="E12" i="1"/>
  <c r="E13" i="1"/>
  <c r="E14" i="1"/>
  <c r="E15" i="1"/>
  <c r="H15" i="1" s="1"/>
  <c r="B18" i="21"/>
  <c r="D16" i="21"/>
  <c r="E3" i="21"/>
  <c r="E4" i="21"/>
  <c r="E5" i="21"/>
  <c r="E6" i="21"/>
  <c r="E7" i="21"/>
  <c r="E8" i="21"/>
  <c r="E9" i="21"/>
  <c r="E10" i="21"/>
  <c r="E12" i="21"/>
  <c r="E13" i="21"/>
  <c r="E14" i="21"/>
  <c r="E33" i="1"/>
  <c r="B11" i="22"/>
  <c r="B17" i="22"/>
  <c r="C17" i="22" s="1"/>
  <c r="D17" i="22" s="1"/>
  <c r="E17" i="22" s="1"/>
  <c r="F17" i="22" s="1"/>
  <c r="C11" i="22"/>
  <c r="D11" i="22"/>
  <c r="E11" i="22" s="1"/>
  <c r="F11" i="22" s="1"/>
  <c r="AO72" i="1"/>
  <c r="AM72" i="1"/>
  <c r="G11" i="22" s="1"/>
  <c r="AM69" i="1"/>
  <c r="E40" i="1"/>
  <c r="B5" i="20"/>
  <c r="C5" i="20"/>
  <c r="E37" i="1"/>
  <c r="E6" i="1"/>
  <c r="H6" i="1" s="1"/>
  <c r="I6" i="1" s="1"/>
  <c r="I20" i="18"/>
  <c r="H21" i="18"/>
  <c r="I21" i="18"/>
  <c r="H22" i="18"/>
  <c r="I22" i="18"/>
  <c r="H23" i="18"/>
  <c r="I23" i="18"/>
  <c r="H24" i="18"/>
  <c r="I24" i="18"/>
  <c r="H25" i="18"/>
  <c r="I25" i="18"/>
  <c r="H26" i="18"/>
  <c r="I26" i="18"/>
  <c r="H27" i="18"/>
  <c r="I27" i="18"/>
  <c r="H28" i="18"/>
  <c r="I28" i="18"/>
  <c r="H29" i="18"/>
  <c r="I29" i="18"/>
  <c r="H30" i="18"/>
  <c r="I30" i="18"/>
  <c r="H31" i="18"/>
  <c r="I31" i="18"/>
  <c r="H32" i="18"/>
  <c r="I32" i="18"/>
  <c r="H33" i="18"/>
  <c r="I33" i="18"/>
  <c r="H34" i="18"/>
  <c r="I34" i="18"/>
  <c r="H35" i="18"/>
  <c r="I35" i="18"/>
  <c r="H36" i="18"/>
  <c r="I36" i="18"/>
  <c r="H37" i="18"/>
  <c r="I37" i="18"/>
  <c r="H38" i="18"/>
  <c r="I38" i="18"/>
  <c r="H39" i="18"/>
  <c r="I39" i="18"/>
  <c r="H40" i="18"/>
  <c r="I40" i="18"/>
  <c r="H41" i="18"/>
  <c r="I41" i="18"/>
  <c r="H42" i="18"/>
  <c r="I42" i="18"/>
  <c r="H43" i="18"/>
  <c r="I43" i="18"/>
  <c r="H44" i="18"/>
  <c r="I44" i="18"/>
  <c r="H45" i="18"/>
  <c r="I45" i="18"/>
  <c r="H46" i="18"/>
  <c r="I46" i="18"/>
  <c r="H47" i="18"/>
  <c r="I47" i="18"/>
  <c r="H48" i="18"/>
  <c r="I48" i="18"/>
  <c r="H49" i="18"/>
  <c r="I49" i="18"/>
  <c r="H50" i="18"/>
  <c r="I50" i="18"/>
  <c r="H51" i="18"/>
  <c r="I51" i="18"/>
  <c r="H52" i="18"/>
  <c r="I52" i="18"/>
  <c r="H53" i="18"/>
  <c r="I53" i="18"/>
  <c r="H54" i="18"/>
  <c r="I54" i="18"/>
  <c r="H55" i="18"/>
  <c r="I55" i="18"/>
  <c r="H56" i="18"/>
  <c r="I56" i="18"/>
  <c r="H57" i="18"/>
  <c r="I57" i="18"/>
  <c r="H58" i="18"/>
  <c r="I58" i="18"/>
  <c r="H59" i="18"/>
  <c r="I59" i="18"/>
  <c r="H60" i="18"/>
  <c r="I60" i="18"/>
  <c r="H61" i="18"/>
  <c r="I61" i="18"/>
  <c r="H62" i="18"/>
  <c r="I62" i="18"/>
  <c r="H63" i="18"/>
  <c r="I63" i="18"/>
  <c r="H64" i="18"/>
  <c r="I64" i="18"/>
  <c r="H65" i="18"/>
  <c r="I65" i="18"/>
  <c r="H66" i="18"/>
  <c r="I66" i="18"/>
  <c r="H67" i="18"/>
  <c r="I67" i="18"/>
  <c r="H68" i="18"/>
  <c r="I68" i="18"/>
  <c r="H69" i="18"/>
  <c r="I69" i="18"/>
  <c r="H70" i="18"/>
  <c r="I70" i="18"/>
  <c r="H71" i="18"/>
  <c r="I71" i="18"/>
  <c r="D20" i="18"/>
  <c r="C21" i="18"/>
  <c r="D21" i="18"/>
  <c r="D22" i="18"/>
  <c r="D23" i="18"/>
  <c r="C22" i="18"/>
  <c r="C23" i="18"/>
  <c r="C20" i="10"/>
  <c r="E20" i="1"/>
  <c r="H20" i="1" s="1"/>
  <c r="AL30" i="1"/>
  <c r="AO7" i="1"/>
  <c r="AT35" i="1" s="1"/>
  <c r="F20" i="10"/>
  <c r="E17" i="1"/>
  <c r="H17" i="1" s="1"/>
  <c r="Q17" i="1" s="1"/>
  <c r="C58" i="1"/>
  <c r="E58" i="1" s="1"/>
  <c r="D59" i="1" s="1"/>
  <c r="W58" i="1"/>
  <c r="I77" i="1"/>
  <c r="AO5" i="19"/>
  <c r="AO14" i="19" s="1"/>
  <c r="AO23" i="19" s="1"/>
  <c r="AL19" i="19"/>
  <c r="AM20" i="19"/>
  <c r="AL20" i="19" s="1"/>
  <c r="AJ7" i="19"/>
  <c r="AJ8" i="19"/>
  <c r="AJ9" i="19"/>
  <c r="AJ10" i="19"/>
  <c r="AK11" i="19" s="1"/>
  <c r="AK18" i="19"/>
  <c r="AK17" i="19"/>
  <c r="AK16" i="19"/>
  <c r="AK12" i="19"/>
  <c r="AK9" i="19"/>
  <c r="AJ3" i="19"/>
  <c r="AG5" i="19"/>
  <c r="AF5" i="19" s="1"/>
  <c r="AG6" i="19"/>
  <c r="AG7" i="19"/>
  <c r="AG8" i="19"/>
  <c r="AG9" i="19"/>
  <c r="AG10" i="19"/>
  <c r="AG14" i="19"/>
  <c r="AG15" i="19"/>
  <c r="AG16" i="19"/>
  <c r="AG17" i="19"/>
  <c r="AG18" i="19"/>
  <c r="AG19" i="19"/>
  <c r="L5" i="19"/>
  <c r="J5" i="19"/>
  <c r="E30" i="1"/>
  <c r="AL25" i="1"/>
  <c r="AM25" i="1" s="1"/>
  <c r="AO25" i="1" s="1"/>
  <c r="AP25" i="1" s="1"/>
  <c r="E107" i="9"/>
  <c r="B16" i="18"/>
  <c r="B15" i="18"/>
  <c r="B14" i="18"/>
  <c r="B13" i="18"/>
  <c r="B12" i="18"/>
  <c r="C11" i="18"/>
  <c r="C12" i="18"/>
  <c r="F16" i="18"/>
  <c r="A17" i="17"/>
  <c r="A18" i="17"/>
  <c r="A4" i="17"/>
  <c r="C4" i="17"/>
  <c r="C15" i="1"/>
  <c r="U29" i="8"/>
  <c r="W29" i="8" s="1"/>
  <c r="V34" i="8"/>
  <c r="AC34" i="8" s="1"/>
  <c r="AD34" i="8" s="1"/>
  <c r="F7" i="16"/>
  <c r="C24" i="16"/>
  <c r="D24" i="16"/>
  <c r="G24" i="16"/>
  <c r="F6" i="16"/>
  <c r="I15" i="16"/>
  <c r="I13" i="16"/>
  <c r="G5" i="20"/>
  <c r="M5" i="20"/>
  <c r="C40" i="1" s="1"/>
  <c r="C15" i="11"/>
  <c r="H24" i="16"/>
  <c r="C16" i="11"/>
  <c r="C13" i="11"/>
  <c r="A4" i="15"/>
  <c r="C4" i="15"/>
  <c r="C13" i="1"/>
  <c r="C76" i="1" s="1"/>
  <c r="C10" i="6"/>
  <c r="I86" i="1"/>
  <c r="I85" i="1"/>
  <c r="I83" i="1"/>
  <c r="J83" i="1" s="1"/>
  <c r="I82" i="1"/>
  <c r="I80" i="1"/>
  <c r="I78" i="1"/>
  <c r="I76" i="1"/>
  <c r="I75" i="1"/>
  <c r="I74" i="1"/>
  <c r="I73" i="1"/>
  <c r="I72" i="1"/>
  <c r="J72" i="1" s="1"/>
  <c r="I71" i="1"/>
  <c r="D77" i="1"/>
  <c r="D75" i="1"/>
  <c r="E73" i="1"/>
  <c r="K73" i="1" s="1"/>
  <c r="D30" i="3"/>
  <c r="E72" i="1"/>
  <c r="E22" i="1"/>
  <c r="W34" i="8"/>
  <c r="AR6" i="1"/>
  <c r="E42" i="1"/>
  <c r="AQ28" i="1"/>
  <c r="C74" i="9"/>
  <c r="D50" i="8"/>
  <c r="L50" i="8"/>
  <c r="H13" i="7"/>
  <c r="G13" i="7"/>
  <c r="C18" i="1"/>
  <c r="E18" i="1"/>
  <c r="I91" i="9"/>
  <c r="H10" i="9"/>
  <c r="D6" i="7"/>
  <c r="D4" i="7"/>
  <c r="I42" i="8"/>
  <c r="K42" i="8"/>
  <c r="I43" i="8"/>
  <c r="K43" i="8"/>
  <c r="L43" i="8" s="1"/>
  <c r="I44" i="8"/>
  <c r="K44" i="8" s="1"/>
  <c r="L44" i="8" s="1"/>
  <c r="I45" i="8"/>
  <c r="K45" i="8"/>
  <c r="L45" i="8" s="1"/>
  <c r="A75" i="8"/>
  <c r="B75" i="8" s="1"/>
  <c r="C75" i="8" s="1"/>
  <c r="A79" i="8" s="1"/>
  <c r="B79" i="8" s="1"/>
  <c r="C90" i="9"/>
  <c r="K66" i="8"/>
  <c r="I60" i="8"/>
  <c r="K60" i="8" s="1"/>
  <c r="L60" i="8" s="1"/>
  <c r="L63" i="8" s="1"/>
  <c r="E29" i="1"/>
  <c r="E28" i="1"/>
  <c r="E27" i="1"/>
  <c r="L66" i="8"/>
  <c r="L71" i="8" s="1"/>
  <c r="I61" i="8"/>
  <c r="K61" i="8"/>
  <c r="I62" i="8"/>
  <c r="K62" i="8"/>
  <c r="C80" i="9"/>
  <c r="G30" i="9"/>
  <c r="H30" i="9"/>
  <c r="H33" i="9"/>
  <c r="C31" i="9"/>
  <c r="G31" i="9"/>
  <c r="H31" i="9"/>
  <c r="C32" i="9"/>
  <c r="G32" i="9"/>
  <c r="H32" i="9"/>
  <c r="G36" i="9"/>
  <c r="H36" i="9"/>
  <c r="C37" i="9"/>
  <c r="H37" i="9"/>
  <c r="C38" i="9"/>
  <c r="H38" i="9"/>
  <c r="E6" i="9"/>
  <c r="F6" i="9"/>
  <c r="E7" i="9"/>
  <c r="F7" i="9"/>
  <c r="E8" i="9"/>
  <c r="F8" i="9"/>
  <c r="E9" i="9"/>
  <c r="F9" i="9"/>
  <c r="E10" i="9"/>
  <c r="F10" i="9"/>
  <c r="C13" i="9"/>
  <c r="H17" i="9"/>
  <c r="E13" i="9"/>
  <c r="F13" i="9"/>
  <c r="E53" i="9"/>
  <c r="E23" i="9"/>
  <c r="H6" i="9"/>
  <c r="H7" i="9"/>
  <c r="H8" i="9"/>
  <c r="H9" i="9"/>
  <c r="H12" i="9"/>
  <c r="I17" i="9"/>
  <c r="D22" i="8"/>
  <c r="G16" i="8"/>
  <c r="H16" i="8"/>
  <c r="I8" i="8"/>
  <c r="C36" i="1"/>
  <c r="K8" i="8"/>
  <c r="Q17" i="9"/>
  <c r="M17" i="9"/>
  <c r="AR46" i="1"/>
  <c r="AR45" i="1"/>
  <c r="B60" i="9"/>
  <c r="E60" i="9"/>
  <c r="E9" i="14"/>
  <c r="B8" i="14"/>
  <c r="B5" i="14"/>
  <c r="B9" i="14"/>
  <c r="C28" i="10"/>
  <c r="F28" i="10"/>
  <c r="F26" i="10"/>
  <c r="E32" i="10"/>
  <c r="F32" i="10"/>
  <c r="F15" i="10"/>
  <c r="C34" i="10"/>
  <c r="F34" i="10"/>
  <c r="C27" i="10"/>
  <c r="F27" i="10"/>
  <c r="F30" i="9"/>
  <c r="F31" i="9"/>
  <c r="F32" i="9"/>
  <c r="D68" i="8"/>
  <c r="L68" i="8"/>
  <c r="D62" i="8"/>
  <c r="L62" i="8"/>
  <c r="D67" i="8"/>
  <c r="L67" i="8"/>
  <c r="E66" i="13"/>
  <c r="B86" i="13"/>
  <c r="C86" i="13"/>
  <c r="D86" i="13"/>
  <c r="E86" i="13"/>
  <c r="F33" i="13"/>
  <c r="B79" i="13"/>
  <c r="D56" i="13"/>
  <c r="C75" i="13"/>
  <c r="D75" i="13"/>
  <c r="E75" i="13"/>
  <c r="F38" i="13"/>
  <c r="B66" i="13"/>
  <c r="C66" i="13"/>
  <c r="D66" i="13"/>
  <c r="F66" i="13"/>
  <c r="F34" i="13"/>
  <c r="B61" i="13"/>
  <c r="E56" i="13"/>
  <c r="F56" i="13"/>
  <c r="G56" i="13"/>
  <c r="F32" i="13"/>
  <c r="C56" i="13"/>
  <c r="F40" i="13"/>
  <c r="F41" i="13"/>
  <c r="F42" i="13"/>
  <c r="F43" i="13"/>
  <c r="F44" i="13"/>
  <c r="F45" i="13"/>
  <c r="F46" i="13"/>
  <c r="F47" i="13"/>
  <c r="F48" i="13"/>
  <c r="F49" i="13"/>
  <c r="F50" i="13"/>
  <c r="F36" i="13"/>
  <c r="F31" i="13"/>
  <c r="F28" i="13"/>
  <c r="D15" i="3"/>
  <c r="D16" i="3"/>
  <c r="D10" i="12"/>
  <c r="E10" i="12"/>
  <c r="G10" i="12"/>
  <c r="C35" i="1"/>
  <c r="F35" i="1" s="1"/>
  <c r="H20" i="11"/>
  <c r="H23" i="11"/>
  <c r="F16" i="10"/>
  <c r="F17" i="10"/>
  <c r="F18" i="10"/>
  <c r="G15" i="10"/>
  <c r="G20" i="10"/>
  <c r="C33" i="1"/>
  <c r="B28" i="21" s="1"/>
  <c r="D9" i="10"/>
  <c r="E9" i="10"/>
  <c r="F9" i="10"/>
  <c r="H9" i="10"/>
  <c r="D61" i="8"/>
  <c r="L61" i="8"/>
  <c r="R42" i="8"/>
  <c r="S42" i="8"/>
  <c r="R43" i="8"/>
  <c r="S43" i="8"/>
  <c r="R44" i="8"/>
  <c r="S44" i="8"/>
  <c r="R45" i="8"/>
  <c r="S45" i="8"/>
  <c r="Z42" i="8"/>
  <c r="AA42" i="8"/>
  <c r="Z53" i="8" s="1"/>
  <c r="Z43" i="8"/>
  <c r="AA43" i="8"/>
  <c r="Z44" i="8"/>
  <c r="AA44" i="8"/>
  <c r="Z45" i="8"/>
  <c r="AA45" i="8"/>
  <c r="Q53" i="8"/>
  <c r="D35" i="8"/>
  <c r="G35" i="8" s="1"/>
  <c r="I30" i="8"/>
  <c r="G30" i="8"/>
  <c r="R8" i="8"/>
  <c r="S8" i="8" s="1"/>
  <c r="T8" i="8" s="1"/>
  <c r="V8" i="8" s="1"/>
  <c r="Y8" i="8" s="1"/>
  <c r="C31" i="7"/>
  <c r="C12" i="7"/>
  <c r="D12" i="7"/>
  <c r="B16" i="7"/>
  <c r="C16" i="7"/>
  <c r="D5" i="7"/>
  <c r="D8" i="7"/>
  <c r="E8" i="7"/>
  <c r="C24" i="7"/>
  <c r="E24" i="7"/>
  <c r="C7" i="6"/>
  <c r="C12" i="6"/>
  <c r="C14" i="1"/>
  <c r="H49" i="1" s="1"/>
  <c r="B10" i="5"/>
  <c r="B7" i="5"/>
  <c r="B12" i="5"/>
  <c r="E64" i="4"/>
  <c r="E26" i="4"/>
  <c r="E27" i="4"/>
  <c r="E28" i="4"/>
  <c r="E29" i="4"/>
  <c r="C31" i="4"/>
  <c r="E31" i="4"/>
  <c r="D41" i="4"/>
  <c r="E41" i="4"/>
  <c r="B51" i="4"/>
  <c r="D51" i="4"/>
  <c r="B41" i="4"/>
  <c r="C41" i="4"/>
  <c r="H15" i="4"/>
  <c r="D15" i="4"/>
  <c r="H12" i="4"/>
  <c r="D12" i="4"/>
  <c r="H9" i="4"/>
  <c r="D9" i="4"/>
  <c r="D7" i="3"/>
  <c r="C7" i="3"/>
  <c r="B7" i="3"/>
  <c r="D15" i="2"/>
  <c r="B11" i="2"/>
  <c r="D11" i="2"/>
  <c r="D19" i="2"/>
  <c r="E19" i="2"/>
  <c r="C6" i="1"/>
  <c r="AK68" i="1"/>
  <c r="AN67" i="1"/>
  <c r="AM67" i="1"/>
  <c r="AK64" i="1"/>
  <c r="AK63" i="1"/>
  <c r="AK62" i="1"/>
  <c r="AK60" i="1"/>
  <c r="AM60" i="1" s="1"/>
  <c r="G17" i="22" s="1"/>
  <c r="T60" i="1"/>
  <c r="AK59" i="1"/>
  <c r="AK58" i="1"/>
  <c r="AH59" i="1" s="1"/>
  <c r="U58" i="1"/>
  <c r="C34" i="1"/>
  <c r="H53" i="1"/>
  <c r="AR51" i="1"/>
  <c r="D47" i="1"/>
  <c r="D48" i="1"/>
  <c r="D50" i="1"/>
  <c r="D49" i="1"/>
  <c r="P46" i="1"/>
  <c r="E36" i="1"/>
  <c r="H36" i="1" s="1"/>
  <c r="V36" i="1" s="1"/>
  <c r="AO10" i="1"/>
  <c r="E34" i="1"/>
  <c r="H34" i="1" s="1"/>
  <c r="AQ32" i="1"/>
  <c r="G23" i="22" s="1"/>
  <c r="E32" i="1"/>
  <c r="E26" i="1"/>
  <c r="E10" i="1"/>
  <c r="E7" i="1"/>
  <c r="H8" i="1"/>
  <c r="AR7" i="1"/>
  <c r="C10" i="1"/>
  <c r="B30" i="21" s="1"/>
  <c r="E51" i="4"/>
  <c r="F51" i="13"/>
  <c r="F52" i="13"/>
  <c r="B43" i="13"/>
  <c r="B44" i="13"/>
  <c r="B47" i="13"/>
  <c r="B49" i="13"/>
  <c r="B51" i="13"/>
  <c r="B52" i="13"/>
  <c r="H41" i="9"/>
  <c r="H43" i="9"/>
  <c r="H46" i="9"/>
  <c r="F53" i="9"/>
  <c r="H53" i="9"/>
  <c r="B27" i="21"/>
  <c r="D27" i="21" s="1"/>
  <c r="O27" i="21" s="1"/>
  <c r="P27" i="21" s="1"/>
  <c r="C87" i="1"/>
  <c r="J87" i="1" s="1"/>
  <c r="H54" i="1"/>
  <c r="AL44" i="1"/>
  <c r="H35" i="1"/>
  <c r="AL35" i="1"/>
  <c r="AL6" i="1"/>
  <c r="D18" i="3"/>
  <c r="C9" i="1"/>
  <c r="C73" i="1" s="1"/>
  <c r="D27" i="13"/>
  <c r="F27" i="13"/>
  <c r="F6" i="1"/>
  <c r="C71" i="1"/>
  <c r="E71" i="1" s="1"/>
  <c r="H45" i="1"/>
  <c r="C12" i="1"/>
  <c r="F12" i="1" s="1"/>
  <c r="O16" i="5"/>
  <c r="B35" i="7"/>
  <c r="C17" i="1"/>
  <c r="R53" i="8"/>
  <c r="K55" i="8" s="1"/>
  <c r="G26" i="10"/>
  <c r="I21" i="9"/>
  <c r="F15" i="9"/>
  <c r="F23" i="9"/>
  <c r="G23" i="9"/>
  <c r="C80" i="1"/>
  <c r="L42" i="8"/>
  <c r="L53" i="8" s="1"/>
  <c r="N42" i="8"/>
  <c r="P42" i="8" s="1"/>
  <c r="Y53" i="8"/>
  <c r="I20" i="10"/>
  <c r="C32" i="1"/>
  <c r="M13" i="9"/>
  <c r="D74" i="9"/>
  <c r="F74" i="9"/>
  <c r="C13" i="18"/>
  <c r="C14" i="18"/>
  <c r="C15" i="18"/>
  <c r="C16" i="18"/>
  <c r="C77" i="1"/>
  <c r="G28" i="21"/>
  <c r="Q28" i="21" s="1"/>
  <c r="R28" i="21" s="1"/>
  <c r="F33" i="1"/>
  <c r="C86" i="1"/>
  <c r="C33" i="10"/>
  <c r="F33" i="10"/>
  <c r="G32" i="10"/>
  <c r="M16" i="6"/>
  <c r="I24" i="16"/>
  <c r="I5" i="20"/>
  <c r="F15" i="1"/>
  <c r="D80" i="1"/>
  <c r="E80" i="1" s="1"/>
  <c r="R8" i="19"/>
  <c r="J24" i="16"/>
  <c r="G75" i="8"/>
  <c r="G36" i="10"/>
  <c r="E87" i="1"/>
  <c r="C37" i="1"/>
  <c r="F26" i="13"/>
  <c r="F22" i="13"/>
  <c r="E77" i="1"/>
  <c r="E16" i="18"/>
  <c r="G16" i="18"/>
  <c r="F84" i="9"/>
  <c r="C22" i="1"/>
  <c r="M30" i="9"/>
  <c r="F17" i="1"/>
  <c r="C78" i="1"/>
  <c r="H50" i="1"/>
  <c r="B42" i="1"/>
  <c r="C16" i="1"/>
  <c r="B31" i="21" s="1"/>
  <c r="C75" i="1"/>
  <c r="E75" i="1" s="1"/>
  <c r="D12" i="1"/>
  <c r="C7" i="1"/>
  <c r="H46" i="1" s="1"/>
  <c r="C72" i="1"/>
  <c r="K35" i="1"/>
  <c r="C74" i="1"/>
  <c r="E74" i="1" s="1"/>
  <c r="J30" i="21"/>
  <c r="E78" i="1"/>
  <c r="C83" i="1"/>
  <c r="N30" i="9"/>
  <c r="D83" i="1"/>
  <c r="E83" i="1" s="1"/>
  <c r="O30" i="9"/>
  <c r="D86" i="1"/>
  <c r="E86" i="1" s="1"/>
  <c r="G38" i="10"/>
  <c r="F7" i="1"/>
  <c r="F26" i="21"/>
  <c r="R23" i="19"/>
  <c r="X23" i="19" s="1"/>
  <c r="R21" i="19"/>
  <c r="R19" i="19"/>
  <c r="R17" i="19"/>
  <c r="R15" i="19"/>
  <c r="R13" i="19"/>
  <c r="R11" i="19"/>
  <c r="R9" i="19"/>
  <c r="R29" i="19"/>
  <c r="R27" i="19"/>
  <c r="R25" i="19"/>
  <c r="R22" i="19"/>
  <c r="R20" i="19"/>
  <c r="R18" i="19"/>
  <c r="R16" i="19"/>
  <c r="R14" i="19"/>
  <c r="R12" i="19"/>
  <c r="R10" i="19"/>
  <c r="R30" i="19"/>
  <c r="R28" i="19"/>
  <c r="R26" i="19"/>
  <c r="R24" i="19"/>
  <c r="I26" i="21"/>
  <c r="H52" i="1"/>
  <c r="C19" i="1" l="1"/>
  <c r="G74" i="9"/>
  <c r="H74" i="9" s="1"/>
  <c r="L73" i="8"/>
  <c r="P60" i="8"/>
  <c r="P63" i="8" s="1"/>
  <c r="P66" i="8" s="1"/>
  <c r="Q16" i="8"/>
  <c r="R16" i="8" s="1"/>
  <c r="Y34" i="8"/>
  <c r="N53" i="8" s="1"/>
  <c r="Z34" i="8"/>
  <c r="AB34" i="8" s="1"/>
  <c r="E76" i="1"/>
  <c r="J76" i="1"/>
  <c r="K76" i="1"/>
  <c r="K80" i="1"/>
  <c r="H58" i="1"/>
  <c r="H13" i="1"/>
  <c r="AM6" i="1"/>
  <c r="H51" i="1"/>
  <c r="AM35" i="1"/>
  <c r="F19" i="1"/>
  <c r="B25" i="21"/>
  <c r="D25" i="21" s="1"/>
  <c r="H47" i="1"/>
  <c r="F10" i="1"/>
  <c r="H48" i="1"/>
  <c r="B23" i="22"/>
  <c r="C23" i="22" s="1"/>
  <c r="D23" i="22" s="1"/>
  <c r="F13" i="1"/>
  <c r="F14" i="1"/>
  <c r="AL7" i="1"/>
  <c r="P35" i="1"/>
  <c r="AT6" i="1"/>
  <c r="AS7" i="1"/>
  <c r="H7" i="1"/>
  <c r="H9" i="1" s="1"/>
  <c r="D14" i="1"/>
  <c r="J75" i="1"/>
  <c r="J78" i="1"/>
  <c r="J77" i="1"/>
  <c r="H37" i="1"/>
  <c r="H14" i="1"/>
  <c r="K86" i="1"/>
  <c r="P86" i="1" s="1"/>
  <c r="H32" i="1"/>
  <c r="N35" i="1"/>
  <c r="M35" i="1"/>
  <c r="Z20" i="1"/>
  <c r="K83" i="1"/>
  <c r="K72" i="1"/>
  <c r="K75" i="1"/>
  <c r="U35" i="1"/>
  <c r="K87" i="1"/>
  <c r="K78" i="1"/>
  <c r="R35" i="1"/>
  <c r="K6" i="1"/>
  <c r="J73" i="1"/>
  <c r="H40" i="1"/>
  <c r="AK7" i="19"/>
  <c r="AM21" i="19"/>
  <c r="AL21" i="19" s="1"/>
  <c r="AJ23" i="19" s="1"/>
  <c r="J8" i="19"/>
  <c r="N9" i="19"/>
  <c r="AK10" i="19"/>
  <c r="AJ14" i="19"/>
  <c r="AK14" i="19" s="1"/>
  <c r="L25" i="21"/>
  <c r="M25" i="21" s="1"/>
  <c r="N26" i="21"/>
  <c r="V31" i="21"/>
  <c r="W31" i="21" s="1"/>
  <c r="U30" i="21"/>
  <c r="B21" i="21"/>
  <c r="B22" i="21" s="1"/>
  <c r="E16" i="21"/>
  <c r="E25" i="21"/>
  <c r="E27" i="21"/>
  <c r="K31" i="21"/>
  <c r="F23" i="22"/>
  <c r="H28" i="21"/>
  <c r="K58" i="1"/>
  <c r="O58" i="1" s="1"/>
  <c r="H22" i="1"/>
  <c r="J71" i="1"/>
  <c r="J74" i="1"/>
  <c r="J80" i="1"/>
  <c r="J86" i="1"/>
  <c r="K77" i="1"/>
  <c r="H33" i="1"/>
  <c r="T33" i="1" s="1"/>
  <c r="H12" i="1"/>
  <c r="H10" i="1"/>
  <c r="H11" i="1" s="1"/>
  <c r="AH58" i="1"/>
  <c r="H18" i="1"/>
  <c r="Y20" i="1"/>
  <c r="AB20" i="1"/>
  <c r="AU27" i="1"/>
  <c r="AA20" i="1"/>
  <c r="T20" i="1"/>
  <c r="AC20" i="1"/>
  <c r="K74" i="1"/>
  <c r="K71" i="1"/>
  <c r="N5" i="19"/>
  <c r="N7" i="19"/>
  <c r="N8" i="19"/>
  <c r="AF6" i="19"/>
  <c r="AF7" i="19" s="1"/>
  <c r="AF8" i="19" s="1"/>
  <c r="AF9" i="19" s="1"/>
  <c r="AF10" i="19" s="1"/>
  <c r="AF14" i="19" s="1"/>
  <c r="AK8" i="19"/>
  <c r="F6" i="19"/>
  <c r="H6" i="19" s="1"/>
  <c r="F9" i="19"/>
  <c r="Y6" i="19"/>
  <c r="G6" i="19"/>
  <c r="F7" i="19"/>
  <c r="G8" i="19" s="1"/>
  <c r="Y5" i="19"/>
  <c r="G84" i="9" l="1"/>
  <c r="H84" i="9" s="1"/>
  <c r="D79" i="1"/>
  <c r="S16" i="8"/>
  <c r="T60" i="8" s="1"/>
  <c r="T64" i="8" s="1"/>
  <c r="T66" i="8"/>
  <c r="I74" i="9"/>
  <c r="G24" i="9" s="1"/>
  <c r="M31" i="9"/>
  <c r="C23" i="1"/>
  <c r="M14" i="9"/>
  <c r="M15" i="9" s="1"/>
  <c r="H19" i="1"/>
  <c r="C79" i="1"/>
  <c r="AM44" i="1"/>
  <c r="AM7" i="1"/>
  <c r="H16" i="1"/>
  <c r="O87" i="1"/>
  <c r="Q87" i="1"/>
  <c r="N71" i="1"/>
  <c r="M71" i="1"/>
  <c r="O6" i="1"/>
  <c r="L6" i="1"/>
  <c r="J33" i="1"/>
  <c r="H39" i="1"/>
  <c r="B44" i="10"/>
  <c r="C44" i="10" s="1"/>
  <c r="D44" i="10" s="1"/>
  <c r="E44" i="10" s="1"/>
  <c r="AK23" i="19"/>
  <c r="R33" i="1"/>
  <c r="S33" i="1"/>
  <c r="T58" i="1"/>
  <c r="R58" i="1"/>
  <c r="P58" i="1"/>
  <c r="Q33" i="1"/>
  <c r="O33" i="1"/>
  <c r="N33" i="1" s="1"/>
  <c r="AF12" i="19"/>
  <c r="AH14" i="19"/>
  <c r="AF15" i="19"/>
  <c r="H7" i="19"/>
  <c r="G7" i="19"/>
  <c r="Y7" i="19"/>
  <c r="P6" i="19"/>
  <c r="P7" i="19"/>
  <c r="H8" i="19"/>
  <c r="J79" i="1" l="1"/>
  <c r="E79" i="1"/>
  <c r="M19" i="9"/>
  <c r="Q15" i="9"/>
  <c r="Q19" i="9" s="1"/>
  <c r="M33" i="9"/>
  <c r="C84" i="1"/>
  <c r="P19" i="1"/>
  <c r="U19" i="1"/>
  <c r="K19" i="1"/>
  <c r="H23" i="1"/>
  <c r="C24" i="1"/>
  <c r="G26" i="9"/>
  <c r="C21" i="1"/>
  <c r="C81" i="1"/>
  <c r="I84" i="9"/>
  <c r="H54" i="9" s="1"/>
  <c r="N31" i="9"/>
  <c r="D84" i="1" s="1"/>
  <c r="AF16" i="19"/>
  <c r="AH15" i="19"/>
  <c r="V8" i="19"/>
  <c r="U8" i="19" s="1"/>
  <c r="AC7" i="19"/>
  <c r="Y8" i="19"/>
  <c r="H56" i="9" l="1"/>
  <c r="D81" i="1"/>
  <c r="D82" i="1" s="1"/>
  <c r="H21" i="1"/>
  <c r="H26" i="1" s="1"/>
  <c r="F26" i="1"/>
  <c r="E109" i="9"/>
  <c r="E111" i="9" s="1"/>
  <c r="H24" i="1"/>
  <c r="B29" i="21"/>
  <c r="G29" i="21" s="1"/>
  <c r="W19" i="1"/>
  <c r="J19" i="1"/>
  <c r="M19" i="1"/>
  <c r="X19" i="1"/>
  <c r="N19" i="1"/>
  <c r="J84" i="1"/>
  <c r="J85" i="1" s="1"/>
  <c r="C85" i="1"/>
  <c r="D75" i="8"/>
  <c r="K79" i="1"/>
  <c r="E84" i="1"/>
  <c r="E81" i="1"/>
  <c r="K81" i="1" s="1"/>
  <c r="K82" i="1" s="1"/>
  <c r="S82" i="1" s="1"/>
  <c r="J81" i="1"/>
  <c r="J82" i="1" s="1"/>
  <c r="C82" i="1"/>
  <c r="O31" i="9"/>
  <c r="O33" i="9" s="1"/>
  <c r="AF17" i="19"/>
  <c r="AH16" i="19"/>
  <c r="AB9" i="19"/>
  <c r="V9" i="19" s="1"/>
  <c r="Y9" i="19" s="1"/>
  <c r="Q8" i="19"/>
  <c r="AC8" i="19"/>
  <c r="E82" i="1" l="1"/>
  <c r="A102" i="9"/>
  <c r="B102" i="9" s="1"/>
  <c r="C102" i="9" s="1"/>
  <c r="C30" i="1" s="1"/>
  <c r="H30" i="1" s="1"/>
  <c r="Q79" i="1"/>
  <c r="O79" i="1"/>
  <c r="R79" i="1"/>
  <c r="H91" i="9"/>
  <c r="J91" i="9" s="1"/>
  <c r="H25" i="1"/>
  <c r="J25" i="1" s="1"/>
  <c r="H31" i="1"/>
  <c r="I24" i="1"/>
  <c r="K84" i="1"/>
  <c r="K85" i="1" s="1"/>
  <c r="E85" i="1"/>
  <c r="H29" i="21"/>
  <c r="S29" i="21"/>
  <c r="T29" i="21" s="1"/>
  <c r="U9" i="19"/>
  <c r="AF18" i="19"/>
  <c r="AH17" i="19"/>
  <c r="AB10" i="19"/>
  <c r="V10" i="19" s="1"/>
  <c r="AA9" i="19"/>
  <c r="AC9" i="19"/>
  <c r="U10" i="19" l="1"/>
  <c r="AH18" i="19"/>
  <c r="AF19" i="19"/>
  <c r="AA10" i="19"/>
  <c r="AB11" i="19"/>
  <c r="AB12" i="19" l="1"/>
  <c r="V11" i="19"/>
  <c r="U11" i="19" s="1"/>
  <c r="AH19" i="19"/>
  <c r="AF21" i="19"/>
  <c r="AH21" i="19" s="1"/>
  <c r="AB13" i="19" l="1"/>
  <c r="V12" i="19"/>
  <c r="U12" i="19" s="1"/>
  <c r="AB14" i="19" l="1"/>
  <c r="V13" i="19"/>
  <c r="U13" i="19" s="1"/>
  <c r="AB15" i="19" l="1"/>
  <c r="V14" i="19"/>
  <c r="U14" i="19" s="1"/>
  <c r="AB16" i="19" l="1"/>
  <c r="V15" i="19"/>
  <c r="U15" i="19" s="1"/>
  <c r="AB17" i="19" l="1"/>
  <c r="V16" i="19"/>
  <c r="U16" i="19" s="1"/>
  <c r="AB18" i="19" l="1"/>
  <c r="V17" i="19"/>
  <c r="U17" i="19" s="1"/>
  <c r="AB19" i="19" l="1"/>
  <c r="V18" i="19"/>
  <c r="U18" i="19" s="1"/>
  <c r="AB20" i="19" l="1"/>
  <c r="V19" i="19"/>
  <c r="U19" i="19" s="1"/>
  <c r="AB21" i="19" l="1"/>
  <c r="V20" i="19"/>
  <c r="U20" i="19" s="1"/>
  <c r="V21" i="19" l="1"/>
  <c r="U21" i="19" s="1"/>
  <c r="AB22" i="19"/>
  <c r="AB23" i="19" l="1"/>
  <c r="V22" i="19"/>
  <c r="W22" i="19" s="1"/>
  <c r="S22" i="19" s="1"/>
  <c r="U22" i="19" l="1"/>
  <c r="V23" i="19"/>
  <c r="W23" i="19" s="1"/>
  <c r="S23" i="19" s="1"/>
  <c r="AB24" i="19"/>
  <c r="V24" i="19" s="1"/>
  <c r="U23" i="19" l="1"/>
  <c r="U24"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66" authorId="0" shapeId="0" xr:uid="{00000000-0006-0000-0900-000001000000}">
      <text>
        <r>
          <rPr>
            <sz val="12"/>
            <color rgb="FF000000"/>
            <rFont val="Calibri"/>
            <family val="2"/>
          </rPr>
          <t>Rice milk: 0.3 M2 per litre
Soy milk: 0.7
Almond: 0.5
*We took the average of the 3, which is 0.5
	-Plamena Slavcheva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G36" authorId="0" shapeId="0" xr:uid="{00000000-0006-0000-0A00-000001000000}">
      <text>
        <r>
          <rPr>
            <sz val="12"/>
            <color rgb="FF000000"/>
            <rFont val="Calibri"/>
            <family val="2"/>
          </rPr>
          <t>Rice milk: 0.3 M2 per litre
Soy milk: 0.7
Almond: 0.5
*We took the average of the 3, which is 0.5
	-Plamena Slavcheva</t>
        </r>
      </text>
    </comment>
  </commentList>
</comments>
</file>

<file path=xl/sharedStrings.xml><?xml version="1.0" encoding="utf-8"?>
<sst xmlns="http://schemas.openxmlformats.org/spreadsheetml/2006/main" count="1762" uniqueCount="1170">
  <si>
    <t>British Heart Foundation and University of Oxford</t>
  </si>
  <si>
    <t>Project</t>
  </si>
  <si>
    <t>Fair less</t>
  </si>
  <si>
    <t>Meat</t>
  </si>
  <si>
    <t>kilocalories</t>
  </si>
  <si>
    <t>total</t>
  </si>
  <si>
    <t>years</t>
  </si>
  <si>
    <t>months</t>
  </si>
  <si>
    <t>days</t>
  </si>
  <si>
    <t>minutes</t>
  </si>
  <si>
    <t>Copyright Chris Darwin 2017 The Darwin Challenge</t>
  </si>
  <si>
    <t>Average age of person in study</t>
  </si>
  <si>
    <t>Average life expectancy of average Swede</t>
  </si>
  <si>
    <t xml:space="preserve">aged 65 in </t>
  </si>
  <si>
    <t>How much should an average Swede</t>
  </si>
  <si>
    <t>live after the age of 60</t>
  </si>
  <si>
    <t>First Aim</t>
  </si>
  <si>
    <t>MFD</t>
  </si>
  <si>
    <t>no of meatfree days</t>
  </si>
  <si>
    <t>Size of Victoria</t>
  </si>
  <si>
    <t>Test number of days</t>
  </si>
  <si>
    <t>Interesting metrics</t>
  </si>
  <si>
    <t>Pigs, poultry, eggs</t>
  </si>
  <si>
    <t>milk, butter and dairy</t>
  </si>
  <si>
    <t>metric</t>
  </si>
  <si>
    <t>to get a meaningful metric</t>
  </si>
  <si>
    <t>Fish</t>
  </si>
  <si>
    <t>Driving around planet</t>
  </si>
  <si>
    <t>Size of ACT</t>
  </si>
  <si>
    <t>distance to the moon</t>
  </si>
  <si>
    <t>distance to Venus</t>
  </si>
  <si>
    <t>cost per week</t>
  </si>
  <si>
    <t>Hours</t>
  </si>
  <si>
    <t>days or Ha</t>
  </si>
  <si>
    <t>Acres</t>
  </si>
  <si>
    <t>Years</t>
  </si>
  <si>
    <t xml:space="preserve">Tennis court </t>
  </si>
  <si>
    <t>Baths</t>
  </si>
  <si>
    <t>Olympic swimming pools</t>
  </si>
  <si>
    <t>soccers</t>
  </si>
  <si>
    <t>Tonnes</t>
  </si>
  <si>
    <t>distance to the sun</t>
  </si>
  <si>
    <t>Marine</t>
  </si>
  <si>
    <t>Forest</t>
  </si>
  <si>
    <t>tennis courts</t>
  </si>
  <si>
    <t>Additional days of life for people who currently</t>
  </si>
  <si>
    <t xml:space="preserve">eat no processed meat compared to those </t>
  </si>
  <si>
    <t>who eat 100gm per day.</t>
  </si>
  <si>
    <t>difference per week</t>
  </si>
  <si>
    <t>Additional life expectancy per meatfree day</t>
  </si>
  <si>
    <t xml:space="preserve">compared to those who eat 100 gm of </t>
  </si>
  <si>
    <t>processed red meat</t>
  </si>
  <si>
    <t>or tonnes of CO2e</t>
  </si>
  <si>
    <t>Km2</t>
  </si>
  <si>
    <t>volume and area</t>
  </si>
  <si>
    <t>Sydney Harbours</t>
  </si>
  <si>
    <t>distance around the planet</t>
  </si>
  <si>
    <t>Distance to Mars</t>
  </si>
  <si>
    <t>m2</t>
  </si>
  <si>
    <t>litres</t>
  </si>
  <si>
    <t>km</t>
  </si>
  <si>
    <t>ha</t>
  </si>
  <si>
    <t>Tennis courts per Ha</t>
  </si>
  <si>
    <t>Longevity</t>
  </si>
  <si>
    <t>diff per day</t>
  </si>
  <si>
    <t>US$</t>
  </si>
  <si>
    <t>£/US$ rate</t>
  </si>
  <si>
    <t>Extra day of longevity</t>
  </si>
  <si>
    <t>Soccer pitch</t>
  </si>
  <si>
    <t>Money</t>
  </si>
  <si>
    <t>Save a US$100 dollars</t>
  </si>
  <si>
    <t>Tennis court</t>
  </si>
  <si>
    <t>A$</t>
  </si>
  <si>
    <t>UK£</t>
  </si>
  <si>
    <t>Hungry people</t>
  </si>
  <si>
    <t>people</t>
  </si>
  <si>
    <t>Raise one person out of chronic malnutrition</t>
  </si>
  <si>
    <t>Olympic swimming pool</t>
  </si>
  <si>
    <t>Cattle</t>
  </si>
  <si>
    <t>cows</t>
  </si>
  <si>
    <t>year</t>
  </si>
  <si>
    <t>Weight of cow kg</t>
  </si>
  <si>
    <t>Cereal Prices</t>
  </si>
  <si>
    <t>% change</t>
  </si>
  <si>
    <t>CF 3.3</t>
  </si>
  <si>
    <t>Conversion rate of cow in %</t>
  </si>
  <si>
    <t>Amount of meat from average cow</t>
  </si>
  <si>
    <t>Days to save one cow</t>
  </si>
  <si>
    <t>Paris to Moscow</t>
  </si>
  <si>
    <t>Chicken</t>
  </si>
  <si>
    <t>chickens</t>
  </si>
  <si>
    <t>No. with</t>
  </si>
  <si>
    <t>from previous</t>
  </si>
  <si>
    <t>C. Malnutrition</t>
  </si>
  <si>
    <t>million</t>
  </si>
  <si>
    <t>2000-2002</t>
  </si>
  <si>
    <t>change between 2000-2 to 2005</t>
  </si>
  <si>
    <t>OECD (2014) average consumption kg per year</t>
  </si>
  <si>
    <t>OECD (2014) average consumption kg per day</t>
  </si>
  <si>
    <t>Days to save one chicken</t>
  </si>
  <si>
    <t>London to Rome</t>
  </si>
  <si>
    <t>aquatic species</t>
  </si>
  <si>
    <t>Days to save 100 fish or prawns</t>
  </si>
  <si>
    <t>London to Switzerland</t>
  </si>
  <si>
    <t>Calculations</t>
  </si>
  <si>
    <t>change between 2000-2 to 2009</t>
  </si>
  <si>
    <t>How much less grain</t>
  </si>
  <si>
    <t>CF 3.4</t>
  </si>
  <si>
    <t>OECD grain to grow meat</t>
  </si>
  <si>
    <t xml:space="preserve">amount of </t>
  </si>
  <si>
    <t>Days to save a thousand square metres of forest</t>
  </si>
  <si>
    <t>London to Geneva</t>
  </si>
  <si>
    <r>
      <t xml:space="preserve">Smil, V., 2000, </t>
    </r>
    <r>
      <rPr>
        <sz val="10"/>
        <color rgb="FFFF0000"/>
        <rFont val="Times New Roman"/>
        <family val="1"/>
      </rPr>
      <t>All,</t>
    </r>
    <r>
      <rPr>
        <sz val="10"/>
        <color rgb="FF000000"/>
        <rFont val="Times New Roman"/>
        <family val="1"/>
      </rPr>
      <t xml:space="preserve"> </t>
    </r>
    <r>
      <rPr>
        <i/>
        <sz val="10"/>
        <color rgb="FF000000"/>
        <rFont val="Times New Roman"/>
        <family val="1"/>
      </rPr>
      <t>Feeding the World</t>
    </r>
    <r>
      <rPr>
        <sz val="10"/>
        <color rgb="FF000000"/>
        <rFont val="Times New Roman"/>
        <family val="1"/>
      </rPr>
      <t>, MIT Press, Cambridge, USA, p157</t>
    </r>
  </si>
  <si>
    <t>greenhouse</t>
  </si>
  <si>
    <t>km driven</t>
  </si>
  <si>
    <t>grain per</t>
  </si>
  <si>
    <t>total feed</t>
  </si>
  <si>
    <t>kg/cap/day</t>
  </si>
  <si>
    <t>Edible weight EW</t>
  </si>
  <si>
    <t xml:space="preserve">per </t>
  </si>
  <si>
    <t>kg/kg</t>
  </si>
  <si>
    <t>beef</t>
  </si>
  <si>
    <t>Pork</t>
  </si>
  <si>
    <t>Lamb</t>
  </si>
  <si>
    <t>Pulses</t>
  </si>
  <si>
    <t>Days to save the equivalent amount of greenhouse gases as driving 1,000km</t>
  </si>
  <si>
    <t>London to Paris</t>
  </si>
  <si>
    <t>Note: we guessed the lamb figure</t>
  </si>
  <si>
    <t>Note we delete the pulses off</t>
  </si>
  <si>
    <t>CF 3.5</t>
  </si>
  <si>
    <t>Global Reduction of cereal</t>
  </si>
  <si>
    <t>Total world cereal production</t>
  </si>
  <si>
    <t>Move to veg</t>
  </si>
  <si>
    <t>ratio between 1 meatfree day and total global cereal</t>
  </si>
  <si>
    <t>Mt/yr</t>
  </si>
  <si>
    <t>kg/yr</t>
  </si>
  <si>
    <t>kg/day</t>
  </si>
  <si>
    <t>kg/dy</t>
  </si>
  <si>
    <t>production</t>
  </si>
  <si>
    <t>Earth to Venus (closest)</t>
  </si>
  <si>
    <t>Earth to Mars</t>
  </si>
  <si>
    <t>no of vehicles on USA roads</t>
  </si>
  <si>
    <t>Average distance a car drives per year in UK</t>
  </si>
  <si>
    <t>https://www.nimblefins.co.uk/average-annual-mileage-cars-uk</t>
  </si>
  <si>
    <t>Number of cars taken off the road for a day</t>
  </si>
  <si>
    <t>Weight of gutted and plucked chicken kg</t>
  </si>
  <si>
    <t>Conversion rate of chicken in %</t>
  </si>
  <si>
    <t>Amount of meat from average chicken</t>
  </si>
  <si>
    <t>Average distance a car drives per year in Australia</t>
  </si>
  <si>
    <t>http://www.roymorgan.com/findings/australian-moterists-drive-average-15530km-201305090702</t>
  </si>
  <si>
    <t>Hours in an aeroplane</t>
  </si>
  <si>
    <t>CF 3.6</t>
  </si>
  <si>
    <t>Per Meatfree day how many people do you bring out of Chronic Malnutrition</t>
  </si>
  <si>
    <t>ratio of reduction of</t>
  </si>
  <si>
    <t>Meatfree days</t>
  </si>
  <si>
    <t>people with CM</t>
  </si>
  <si>
    <t>number of people</t>
  </si>
  <si>
    <t xml:space="preserve">to get 1 human off </t>
  </si>
  <si>
    <t>with C.M</t>
  </si>
  <si>
    <t>Chronic Malnutrition</t>
  </si>
  <si>
    <t>water deducting pulses</t>
  </si>
  <si>
    <t>toilet flushes</t>
  </si>
  <si>
    <t>Days to save a thousand toilet flushes</t>
  </si>
  <si>
    <t>We know that in 2005 when grain prices increased by 17% from 2001</t>
  </si>
  <si>
    <t>the number of people with malnutrition decreased by 3.88%</t>
  </si>
  <si>
    <t>so let us speculate to work this out you divide by 16.7 and multiply by 3.9</t>
  </si>
  <si>
    <t>What happens if masses of people give up Meat</t>
  </si>
  <si>
    <t xml:space="preserve">Number of </t>
  </si>
  <si>
    <t>Metric</t>
  </si>
  <si>
    <t>Total people fed</t>
  </si>
  <si>
    <t>Meatfree people</t>
  </si>
  <si>
    <t>meatfree Days</t>
  </si>
  <si>
    <t>Distance around the planet</t>
  </si>
  <si>
    <t>water meat only</t>
  </si>
  <si>
    <t>Average soccer pitch</t>
  </si>
  <si>
    <t>Marine reserve</t>
  </si>
  <si>
    <t>Days to create a thousand square metre marine reserve</t>
  </si>
  <si>
    <t>Central Park, NY</t>
  </si>
  <si>
    <t>Total weights</t>
  </si>
  <si>
    <t>kg per day</t>
  </si>
  <si>
    <t>Kensingto Garden, London</t>
  </si>
  <si>
    <t>https://www.royalparks.org.uk/parks/kensington-gardens</t>
  </si>
  <si>
    <t>Savings to Health care</t>
  </si>
  <si>
    <t>Total externalities</t>
  </si>
  <si>
    <t>Sentient beings</t>
  </si>
  <si>
    <t>Holland Park, London</t>
  </si>
  <si>
    <t>Buckingham Palace Gardens</t>
  </si>
  <si>
    <t>Centennial Park, Sydney</t>
  </si>
  <si>
    <t>Total Meat-free days</t>
  </si>
  <si>
    <t>Forest calculation</t>
  </si>
  <si>
    <t>Numbers caught or farmed</t>
  </si>
  <si>
    <t>average</t>
  </si>
  <si>
    <t>(Chambers p66)</t>
  </si>
  <si>
    <t>Bilion</t>
  </si>
  <si>
    <t>Billion</t>
  </si>
  <si>
    <t>wild fish</t>
  </si>
  <si>
    <t>https://www.reference.com/science/many-football-pitches-hectare-c79dcfb34def6acb</t>
  </si>
  <si>
    <t>(our calculation)</t>
  </si>
  <si>
    <t>Total area of livestock</t>
  </si>
  <si>
    <t xml:space="preserve">Total area </t>
  </si>
  <si>
    <t>Total area</t>
  </si>
  <si>
    <t>total area</t>
  </si>
  <si>
    <t>total area of destruction</t>
  </si>
  <si>
    <t>% for livestock</t>
  </si>
  <si>
    <t>Back calculations</t>
  </si>
  <si>
    <t xml:space="preserve">m2 per OECD </t>
  </si>
  <si>
    <t>Pasture</t>
  </si>
  <si>
    <t>arable</t>
  </si>
  <si>
    <t>for livestock</t>
  </si>
  <si>
    <t>per year</t>
  </si>
  <si>
    <t>%</t>
  </si>
  <si>
    <t>to produce an OECD</t>
  </si>
  <si>
    <t>meat</t>
  </si>
  <si>
    <t>bha</t>
  </si>
  <si>
    <t>ha/yr</t>
  </si>
  <si>
    <t>m2/cap/day</t>
  </si>
  <si>
    <t>m2/yr/ whole pop</t>
  </si>
  <si>
    <t>aquaculture fish</t>
  </si>
  <si>
    <t>crustaceans</t>
  </si>
  <si>
    <t>If you had one meatfree day for 33 years, you will live a year longer</t>
  </si>
  <si>
    <t>State of Victoria, Victoria</t>
  </si>
  <si>
    <t>Total weight of caught and farmed fish (I assume that these are landed weights, not gutted weight)</t>
  </si>
  <si>
    <t>million tonnes</t>
  </si>
  <si>
    <t>billion tonnes</t>
  </si>
  <si>
    <t>Billion kg</t>
  </si>
  <si>
    <t>If you have one meatfree day per week after a year you save at least $340 per year</t>
  </si>
  <si>
    <t>Territory of ACT</t>
  </si>
  <si>
    <t>Veg</t>
  </si>
  <si>
    <t>Total weight of each individual species</t>
  </si>
  <si>
    <t>kg</t>
  </si>
  <si>
    <t>gm</t>
  </si>
  <si>
    <t>The number of people you raise out of chronic malnutrition if you have one meatfree day per week after a year.</t>
  </si>
  <si>
    <t>Cow</t>
  </si>
  <si>
    <t>Flex</t>
  </si>
  <si>
    <t>Working out whether the FAO figures are edible meat or the whole fish</t>
  </si>
  <si>
    <t>They are whole fish weights, including guts etc</t>
  </si>
  <si>
    <t>total catch</t>
  </si>
  <si>
    <t>population</t>
  </si>
  <si>
    <t>per cap</t>
  </si>
  <si>
    <t>million kg</t>
  </si>
  <si>
    <t>The number of cows we eat in our lifetimes</t>
  </si>
  <si>
    <t>Bath</t>
  </si>
  <si>
    <t>According to BS6700 a standard 1700mm x 700mm bath uses approximately 100 litres of water at 40'C.</t>
  </si>
  <si>
    <t xml:space="preserve">Whole weight of industrial countries </t>
  </si>
  <si>
    <t>yearly consumption</t>
  </si>
  <si>
    <t>kg/cap/year</t>
  </si>
  <si>
    <t>Have a look at H8, so that is pretty close</t>
  </si>
  <si>
    <t>Number of days to save a hectare of forest</t>
  </si>
  <si>
    <t>How many day</t>
  </si>
  <si>
    <t>How many days</t>
  </si>
  <si>
    <t>Number of fish we eat per day</t>
  </si>
  <si>
    <t>to get a hectare</t>
  </si>
  <si>
    <t>to get a km2</t>
  </si>
  <si>
    <t>We need one chicken every 16 days.</t>
  </si>
  <si>
    <t xml:space="preserve">Manhatten Island </t>
  </si>
  <si>
    <t>21km</t>
  </si>
  <si>
    <t>total day</t>
  </si>
  <si>
    <t>M2</t>
  </si>
  <si>
    <t>Ha</t>
  </si>
  <si>
    <t>In a lifetime we eat all these fish or prawns</t>
  </si>
  <si>
    <t>Length of Italy</t>
  </si>
  <si>
    <t>Ref: GFN Wackernagel et al 2000</t>
  </si>
  <si>
    <t>1 mfd per week for a year, saved a tennis court of Amazon rainforest.</t>
  </si>
  <si>
    <t>Sydney harbour in area</t>
  </si>
  <si>
    <t>Ecological footprint</t>
  </si>
  <si>
    <t>Carbon</t>
  </si>
  <si>
    <t>M2 per person per day</t>
  </si>
  <si>
    <t>Per animal m2</t>
  </si>
  <si>
    <t>per animal per Ha</t>
  </si>
  <si>
    <t xml:space="preserve">Area of Forest </t>
  </si>
  <si>
    <t>https://www.britannica.com/place/Port-Jackson</t>
  </si>
  <si>
    <t>Get a metric between two places</t>
  </si>
  <si>
    <t>water</t>
  </si>
  <si>
    <r>
      <t xml:space="preserve">Smil, V., 2000, </t>
    </r>
    <r>
      <rPr>
        <sz val="10"/>
        <color rgb="FFFF0000"/>
        <rFont val="Times New Roman"/>
        <family val="1"/>
      </rPr>
      <t>All,</t>
    </r>
    <r>
      <rPr>
        <sz val="10"/>
        <color rgb="FF000000"/>
        <rFont val="Times New Roman"/>
        <family val="1"/>
      </rPr>
      <t xml:space="preserve"> </t>
    </r>
    <r>
      <rPr>
        <i/>
        <sz val="10"/>
        <color rgb="FF000000"/>
        <rFont val="Times New Roman"/>
        <family val="1"/>
      </rPr>
      <t>Feeding the World</t>
    </r>
    <r>
      <rPr>
        <sz val="10"/>
        <color rgb="FF000000"/>
        <rFont val="Times New Roman"/>
        <family val="1"/>
      </rPr>
      <t>, MIT Press, Cambridge, USA</t>
    </r>
  </si>
  <si>
    <t>per kg per month per m2</t>
  </si>
  <si>
    <t>per kg per day per m2</t>
  </si>
  <si>
    <t>per OECD serving</t>
  </si>
  <si>
    <t>Ha/cap/day</t>
  </si>
  <si>
    <t>Cental Park in New York</t>
  </si>
  <si>
    <t>Area per kilo</t>
  </si>
  <si>
    <t>Area of forest</t>
  </si>
  <si>
    <t>To produce the meat consumed by the average OECD consumer during their life requires this amount of Olympic Swimming pool.</t>
  </si>
  <si>
    <t>including carbon</t>
  </si>
  <si>
    <t>excluding carbon</t>
  </si>
  <si>
    <t>ha/kg</t>
  </si>
  <si>
    <t xml:space="preserve">Multiplied by </t>
  </si>
  <si>
    <t>m2/kg</t>
  </si>
  <si>
    <t>22 hectares</t>
  </si>
  <si>
    <t>If you never ate fish for 10 years, you would effectively have created a 11ha marine reserve</t>
  </si>
  <si>
    <t>mfds So far</t>
  </si>
  <si>
    <t>Days until</t>
  </si>
  <si>
    <t>average meat-free days to win</t>
  </si>
  <si>
    <t>mfd per week</t>
  </si>
  <si>
    <t xml:space="preserve">Total By </t>
  </si>
  <si>
    <t>m2 of forest</t>
  </si>
  <si>
    <t>Football pitches</t>
  </si>
  <si>
    <t>Meat-free day by Christmas</t>
  </si>
  <si>
    <t xml:space="preserve">Challenge 1 </t>
  </si>
  <si>
    <t xml:space="preserve">31st Dec </t>
  </si>
  <si>
    <t>weeks left</t>
  </si>
  <si>
    <t>to hit target.</t>
  </si>
  <si>
    <t>Meat free days left to get</t>
  </si>
  <si>
    <t>km2</t>
  </si>
  <si>
    <t>Challenge 2</t>
  </si>
  <si>
    <t>Sussex, surrey, Kent &amp; Hamp</t>
  </si>
  <si>
    <t>Sussex</t>
  </si>
  <si>
    <t>Sussex, surrey, Kent &amp; Hamp &amp; Ox</t>
  </si>
  <si>
    <t>Surrey</t>
  </si>
  <si>
    <t>Wales</t>
  </si>
  <si>
    <t>Greenhouse gases from diet</t>
  </si>
  <si>
    <t>GFN 2000 data</t>
  </si>
  <si>
    <t>NB this is an estimate because we could not find the EF of lamb or the greenhouse gases</t>
  </si>
  <si>
    <t>Note: We do not have lambs footprint factor</t>
  </si>
  <si>
    <t>replacement vegetarian protein</t>
  </si>
  <si>
    <t>Ecological footprints</t>
  </si>
  <si>
    <t>Fish kg/cap/day</t>
  </si>
  <si>
    <t>Essex</t>
  </si>
  <si>
    <t>CO2e OECD per day</t>
  </si>
  <si>
    <t>CO2 equivalents per kg</t>
  </si>
  <si>
    <t>Kent</t>
  </si>
  <si>
    <t>Total animal flesh kg/cap/day</t>
  </si>
  <si>
    <t>of greenhouse gases component</t>
  </si>
  <si>
    <t>per month</t>
  </si>
  <si>
    <t>Hampshire</t>
  </si>
  <si>
    <t>Oxfordship</t>
  </si>
  <si>
    <t>Australian population</t>
  </si>
  <si>
    <t>Scotland</t>
  </si>
  <si>
    <t>Northern Island</t>
  </si>
  <si>
    <t>Every national park in England and Wales</t>
  </si>
  <si>
    <t>Total</t>
  </si>
  <si>
    <t>Central London</t>
  </si>
  <si>
    <t>US ground mince</t>
  </si>
  <si>
    <t>https://www.tuco.ac.uk/ghgcalculator/</t>
  </si>
  <si>
    <t>Every national park in England</t>
  </si>
  <si>
    <t>England</t>
  </si>
  <si>
    <t>Free-range boneless meat</t>
  </si>
  <si>
    <t>Peak distinct</t>
  </si>
  <si>
    <t>Lake district</t>
  </si>
  <si>
    <t>Snowdonia</t>
  </si>
  <si>
    <t>How many days to save a hectare of forest</t>
  </si>
  <si>
    <t>Dartmor</t>
  </si>
  <si>
    <t>Pembrokeshire</t>
  </si>
  <si>
    <t>North York Moors</t>
  </si>
  <si>
    <t>Vegan calculations</t>
  </si>
  <si>
    <t>OECD</t>
  </si>
  <si>
    <t>cap/day/person</t>
  </si>
  <si>
    <t>Footprint factor (FF) per month</t>
  </si>
  <si>
    <t>FF Carbon component per month</t>
  </si>
  <si>
    <t>FF without carbon per month</t>
  </si>
  <si>
    <t>FF without carbon per day</t>
  </si>
  <si>
    <t>M2 per person, per day</t>
  </si>
  <si>
    <t>M2 per day</t>
  </si>
  <si>
    <t>of forest to absorb those gases</t>
  </si>
  <si>
    <t>Equivalent distance in car</t>
  </si>
  <si>
    <t>Litre could could use</t>
  </si>
  <si>
    <t xml:space="preserve">Distance you could travel </t>
  </si>
  <si>
    <t>with this amount of petrol</t>
  </si>
  <si>
    <t>per litre</t>
  </si>
  <si>
    <t>assuming 8 litre per 100km</t>
  </si>
  <si>
    <t>Cheese and Butter (kg)</t>
  </si>
  <si>
    <t>Hours in a plane per MFD</t>
  </si>
  <si>
    <t>Egg (per egg)</t>
  </si>
  <si>
    <t>Fresh dairy product replacements</t>
  </si>
  <si>
    <t xml:space="preserve">Water </t>
  </si>
  <si>
    <r>
      <t xml:space="preserve">Smil, V., 2000, </t>
    </r>
    <r>
      <rPr>
        <sz val="10"/>
        <color rgb="FFFF0000"/>
        <rFont val="Times New Roman"/>
        <family val="1"/>
      </rPr>
      <t>All,</t>
    </r>
    <r>
      <rPr>
        <sz val="10"/>
        <color rgb="FF000000"/>
        <rFont val="Times New Roman"/>
        <family val="1"/>
      </rPr>
      <t xml:space="preserve"> </t>
    </r>
    <r>
      <rPr>
        <i/>
        <sz val="10"/>
        <color rgb="FF000000"/>
        <rFont val="Times New Roman"/>
        <family val="1"/>
      </rPr>
      <t>Feeding the World</t>
    </r>
    <r>
      <rPr>
        <sz val="10"/>
        <color rgb="FF000000"/>
        <rFont val="Times New Roman"/>
        <family val="1"/>
      </rPr>
      <t>, MIT Press, Cambridge, USA, p43</t>
    </r>
  </si>
  <si>
    <t>Vegetarian</t>
  </si>
  <si>
    <t>Rich country meat</t>
  </si>
  <si>
    <t>Difference</t>
  </si>
  <si>
    <t>Number of flushes if you don't eat meat</t>
  </si>
  <si>
    <t>m3/yr/cap</t>
  </si>
  <si>
    <t>m3/day/cap</t>
  </si>
  <si>
    <t>litres/day/cap</t>
  </si>
  <si>
    <t>litres per flush</t>
  </si>
  <si>
    <t>http://www.conserveh2o.org/toilet-water-use</t>
  </si>
  <si>
    <t>900-1200</t>
  </si>
  <si>
    <t>Well over 2000'</t>
  </si>
  <si>
    <t>Water footprint</t>
  </si>
  <si>
    <t>http://waterfootprint.org/en/water-footprint/product-water-footprint/water-footprint-crop-and-animal-products/</t>
  </si>
  <si>
    <t>total meatf</t>
  </si>
  <si>
    <t>m3/ton</t>
  </si>
  <si>
    <t>litre/kg</t>
  </si>
  <si>
    <t>litre/day.cap</t>
  </si>
  <si>
    <t>Lites per</t>
  </si>
  <si>
    <t>Total flushes</t>
  </si>
  <si>
    <t>flush</t>
  </si>
  <si>
    <t>amount per day</t>
  </si>
  <si>
    <t>Conversion to milk</t>
  </si>
  <si>
    <t>Eggs</t>
  </si>
  <si>
    <t>X</t>
  </si>
  <si>
    <t>Dairy</t>
  </si>
  <si>
    <t>Litres</t>
  </si>
  <si>
    <t>Milk</t>
  </si>
  <si>
    <t>Cheese</t>
  </si>
  <si>
    <t>Butter</t>
  </si>
  <si>
    <t>Area of Marine Reserve</t>
  </si>
  <si>
    <t>Fish per month</t>
  </si>
  <si>
    <t>Footprint factor/month</t>
  </si>
  <si>
    <t>area of ocean</t>
  </si>
  <si>
    <t>per m2</t>
  </si>
  <si>
    <t>per day</t>
  </si>
  <si>
    <t>average fish</t>
  </si>
  <si>
    <t>per person</t>
  </si>
  <si>
    <t>without carbon</t>
  </si>
  <si>
    <t>per kg</t>
  </si>
  <si>
    <t>Cost Per Meat-free Day</t>
  </si>
  <si>
    <t>Benefit to humanity in A$</t>
  </si>
  <si>
    <t>Medical savings</t>
  </si>
  <si>
    <t>CO2 absorbed by forest</t>
  </si>
  <si>
    <t>https://www.ndph.ox.ac.uk/cpnp/files/about/modelling-health-impacts.pdf</t>
  </si>
  <si>
    <t>NHS cost saving</t>
  </si>
  <si>
    <t>2006/7 in £</t>
  </si>
  <si>
    <t>estimate</t>
  </si>
  <si>
    <t>per day 2016</t>
  </si>
  <si>
    <t>(assume 1 meat day per week)</t>
  </si>
  <si>
    <t>UK Pop 2016</t>
  </si>
  <si>
    <t>£ per day per person</t>
  </si>
  <si>
    <t>Conversation rate in 2016</t>
  </si>
  <si>
    <t>A$ per per per day</t>
  </si>
  <si>
    <t>Inflation since then 2017</t>
  </si>
  <si>
    <t>Terrestrial reserve</t>
  </si>
  <si>
    <t>Purchase Price per Ha</t>
  </si>
  <si>
    <t>management per M2 per year</t>
  </si>
  <si>
    <t>per M2</t>
  </si>
  <si>
    <t>Management per Ha</t>
  </si>
  <si>
    <t>Cost per kilo https://www.harrisfarm.com.au/collections/seafood</t>
  </si>
  <si>
    <t>per MFD</t>
  </si>
  <si>
    <t>Greenhouse gases</t>
  </si>
  <si>
    <t>1 litre of petrol produces kg of Greenhouses</t>
  </si>
  <si>
    <t>kg of GH per km</t>
  </si>
  <si>
    <t>Price per ton</t>
  </si>
  <si>
    <t>petrol to drive 1km</t>
  </si>
  <si>
    <t>per5.64km</t>
  </si>
  <si>
    <t>Aus$</t>
  </si>
  <si>
    <t>middle price</t>
  </si>
  <si>
    <t>http://www.bp.com.au/ghg_veh_calculator/calculator.asp</t>
  </si>
  <si>
    <t>http://www.synapse-energy.com/sites/default/files/2015%20Carbon%20Dioxide%20Price%20Report.pdf</t>
  </si>
  <si>
    <t>Creation cost</t>
  </si>
  <si>
    <t>Management</t>
  </si>
  <si>
    <t xml:space="preserve">Total </t>
  </si>
  <si>
    <t>per ha</t>
  </si>
  <si>
    <t>for 40 years</t>
  </si>
  <si>
    <t>cost</t>
  </si>
  <si>
    <t xml:space="preserve">cost </t>
  </si>
  <si>
    <t>Water</t>
  </si>
  <si>
    <t>A$ per kilolitre</t>
  </si>
  <si>
    <t>http://www.abs.gov.au/ausstats/abs@.nsf/39433889d406eeb9ca2570610019e9a5/cf764a3639384fdcca257233007975b7!OpenDocument</t>
  </si>
  <si>
    <t>Greenhouse gases from forest regenerating</t>
  </si>
  <si>
    <t>How many tonnes CO2 per ha</t>
  </si>
  <si>
    <t xml:space="preserve">Ha, tonne worth </t>
  </si>
  <si>
    <t>Cost per A$</t>
  </si>
  <si>
    <t>per $A</t>
  </si>
  <si>
    <t>A$ per m2</t>
  </si>
  <si>
    <t>40 years</t>
  </si>
  <si>
    <t>https://www.forestry.gov.uk/pdf/6_planting_more_trees.pdf/$FILE/6_planting_more_trees.pdf</t>
  </si>
  <si>
    <t>Replacements</t>
  </si>
  <si>
    <t>Almond/soya/rice milk (lt)</t>
  </si>
  <si>
    <t>Tofu replacement (kg)</t>
  </si>
  <si>
    <r>
      <t>Fresh Dairy Products (</t>
    </r>
    <r>
      <rPr>
        <sz val="12"/>
        <rFont val="Calibri"/>
        <family val="2"/>
      </rPr>
      <t>lt)</t>
    </r>
  </si>
  <si>
    <t>(with assumption</t>
  </si>
  <si>
    <t xml:space="preserve"> that the average egg is 60gms)</t>
  </si>
  <si>
    <t>Tofu (Poore and Nemecek - science</t>
  </si>
  <si>
    <t>Total Diary</t>
  </si>
  <si>
    <t>Total Replacments</t>
  </si>
  <si>
    <t>Net impact of become vegan</t>
  </si>
  <si>
    <t>NB We took tofu on a 1:1 replacement rates</t>
  </si>
  <si>
    <t>total for vegetarians</t>
  </si>
  <si>
    <t>FF with carbon equ. per day</t>
  </si>
  <si>
    <t>Egg</t>
  </si>
  <si>
    <t>lt/kg or</t>
  </si>
  <si>
    <t>Litre average of Soya (28),Oat (48), Almond (371)</t>
  </si>
  <si>
    <t>Tofu</t>
  </si>
  <si>
    <t>https://www.veganaustralia.org.au/water</t>
  </si>
  <si>
    <t>Net as a vegan</t>
  </si>
  <si>
    <t>Total as a vegan</t>
  </si>
  <si>
    <t>Total lt/cap/day</t>
  </si>
  <si>
    <t>Richmond Park</t>
  </si>
  <si>
    <t>£</t>
  </si>
  <si>
    <t>cars off road for day (assuming UK figures)</t>
  </si>
  <si>
    <t>Sydney to Melbourne</t>
  </si>
  <si>
    <t>Times</t>
  </si>
  <si>
    <t>Investment A$</t>
  </si>
  <si>
    <t>Any matching</t>
  </si>
  <si>
    <t>Total investment</t>
  </si>
  <si>
    <t>IMFD %</t>
  </si>
  <si>
    <t>Cost/MFD A$</t>
  </si>
  <si>
    <t>Total MFDs</t>
  </si>
  <si>
    <t>Cost/IMFD</t>
  </si>
  <si>
    <t>https://www.climateandweather.net/global-warming/deforestation.html</t>
  </si>
  <si>
    <t>CO2 Total tons</t>
  </si>
  <si>
    <t>CO2 total tonnes</t>
  </si>
  <si>
    <t>Total Acres</t>
  </si>
  <si>
    <t>Total Ha</t>
  </si>
  <si>
    <t>CO2 tonnes per Ha</t>
  </si>
  <si>
    <t>CO2 avoiding by stopping habitat destruction</t>
  </si>
  <si>
    <t>https://jancovici.com/en/climate-change/ghg-and-carbon-cycle/cant-we-just-grow-forests-to-compensate-for-our-co2-emissions/</t>
  </si>
  <si>
    <t>Tonnes per hectare</t>
  </si>
  <si>
    <t>https://www.eia.gov/tools/faqs/faq.php?id=82&amp;t=11</t>
  </si>
  <si>
    <t xml:space="preserve">Conversion rate of C </t>
  </si>
  <si>
    <t>to CO2</t>
  </si>
  <si>
    <t>per month per kg</t>
  </si>
  <si>
    <t>per person per day</t>
  </si>
  <si>
    <t xml:space="preserve">M2 amount of forest </t>
  </si>
  <si>
    <t>to absorb the CO2e</t>
  </si>
  <si>
    <t>Replacing meat with pulses</t>
  </si>
  <si>
    <t>CO2 per hectare if all that was released</t>
  </si>
  <si>
    <t>Total amount of carbon on agricultural land</t>
  </si>
  <si>
    <t>https://www.ncbi.nlm.nih.gov/pmc/articles/PMC4951720/</t>
  </si>
  <si>
    <t>Other Estimates</t>
  </si>
  <si>
    <t>https://en.wikipedia.org/wiki/Habitat_destruction</t>
  </si>
  <si>
    <t>Rainforest only</t>
  </si>
  <si>
    <t>World Forest Watch</t>
  </si>
  <si>
    <t>million ha</t>
  </si>
  <si>
    <t>Average</t>
  </si>
  <si>
    <t>https://www.wri.org/blog/2017/10/global-tree-cover-loss-rose-51-percent-2016</t>
  </si>
  <si>
    <t>Once multiplied by the %</t>
  </si>
  <si>
    <t>grown on habitat destruction land</t>
  </si>
  <si>
    <t>If H37 was the daily area to produce meat, then assuming people have 3 meat days per week then this should be the total area required to produce all global meat</t>
  </si>
  <si>
    <t>Global population</t>
  </si>
  <si>
    <t>inconsistency</t>
  </si>
  <si>
    <t>Checks</t>
  </si>
  <si>
    <t>Cross check for total area to grow all landbased animal products</t>
  </si>
  <si>
    <t>Cross check for total area of annual habitat destruction</t>
  </si>
  <si>
    <t>Kg/CO2e/ M2</t>
  </si>
  <si>
    <t>kg/CO2e/MFD</t>
  </si>
  <si>
    <t>CO2e/cap/MFD from habitat destruction from expansion of livestock industry</t>
  </si>
  <si>
    <t xml:space="preserve">Total CO2e/cap/MFD </t>
  </si>
  <si>
    <t>Total MFDs so far</t>
  </si>
  <si>
    <t>Inspired MFDs</t>
  </si>
  <si>
    <t>Total costs so far</t>
  </si>
  <si>
    <t>Cost of Tonne abatted</t>
  </si>
  <si>
    <t>Vegan diet</t>
  </si>
  <si>
    <t xml:space="preserve">Normal balanced diet - BBC </t>
  </si>
  <si>
    <t>Increased cost per year of being a vegan</t>
  </si>
  <si>
    <t>Increased cost per day of being a vegan</t>
  </si>
  <si>
    <t>per vegan day</t>
  </si>
  <si>
    <t>The original was done in UK pounds so as the exchange rate changes the US dollar version will change</t>
  </si>
  <si>
    <t>Ref</t>
  </si>
  <si>
    <t>What is the average amount of eggs, in kg, consumed by a person per year in the OECD or ‘Industrial’ countries?</t>
  </si>
  <si>
    <t>What is the average number of eggs, consumed by a person per year in the OECD or ‘Industrial’ countries?</t>
  </si>
  <si>
    <t>What is the average number of eggs, consumed by a person per day in the OECD or ‘Industrial’ countries?</t>
  </si>
  <si>
    <t>What is the average eggs consumption, in grams, consumed by a person per day in the OECD or ‘Industrial’ countries?</t>
  </si>
  <si>
    <t>On average, how many eggs does a chicken lay per year?</t>
  </si>
  <si>
    <t>How many chickens does a person need per year to get supplied with their average annual eggs consumption? In %</t>
  </si>
  <si>
    <t>How many years does it take a vegan to save 1 chicken? On top of the vegetarian.</t>
  </si>
  <si>
    <t>How many chickens does a vegan save in a lifetime (the average life expectancy in OECD countries is 79.3)?</t>
  </si>
  <si>
    <t>How many animals are needed to produce a person's average eggs consumption for their lifetime?</t>
  </si>
  <si>
    <t>How many chickens does a vegan save per year? On top of what a vegetarian saves.</t>
  </si>
  <si>
    <t>How many chickens does a vegan save per day? On top of what a vegetarian saves.</t>
  </si>
  <si>
    <t>How many chickens does a vegan save, IN TOTAL, incl. the vegetarian metrics?</t>
  </si>
  <si>
    <t>unknown</t>
  </si>
  <si>
    <t>Average consumption of of fresh dairy (or products that contain milk transformed into “fresh” products, such as yoghurt and cream) per person per year in the OECD countries, converted into milk, in kg</t>
  </si>
  <si>
    <t>Average consumption of butter per person per year in the OECD countries, converted into milk, in kg</t>
  </si>
  <si>
    <t>Average consumption of cheese per person per year in the OECD countries, converted into milk, in kg</t>
  </si>
  <si>
    <t>Average consumption of milk powder per person per year in the OECD countries, converted into milk, in kg</t>
  </si>
  <si>
    <t>Average milk consumption per person per year in the OECD, in litres</t>
  </si>
  <si>
    <t xml:space="preserve">Average milk production per cow per year (in litres) </t>
  </si>
  <si>
    <t>How many cows does a person need per year to get supplied with their average annual milk consumption? In %</t>
  </si>
  <si>
    <t>How many years does it take a vegan to save 1 cow? On top of a vegetarian.</t>
  </si>
  <si>
    <t>How many cows does a vegan save in a lifetime (the average life expectancy in OECD countries is 79.3)?</t>
  </si>
  <si>
    <t>How many animals are needed to produce a person's average dairy consumption for their lifetime?</t>
  </si>
  <si>
    <t>However, these calves are killed for meat, so they effectively save some adult cattle from being killed. The newborn calves are 40kg. The adult cattle are about 680kg. The figure here is the actual number of calves slaughtered in proportion of an adult cattle that is not slaughtered instead.</t>
  </si>
  <si>
    <t>This is the total number of cattle, young and old, which are killed to produce milk in a person's lifetime.</t>
  </si>
  <si>
    <t>How many cows does a vegan save per year in their lifetime?</t>
  </si>
  <si>
    <t>How many cows does a vegan save per day, on top of what a vegetarian saves?</t>
  </si>
  <si>
    <t>How many cows does a vegan save, IN TOTAL (incl. vegetarian metrics)?</t>
  </si>
  <si>
    <t>http://www.fao.org/3/ar591e/ar591e.pdf</t>
  </si>
  <si>
    <t>% of cropland used for</t>
  </si>
  <si>
    <t>meat consumption</t>
  </si>
  <si>
    <t>Total area of Ice-free land on planet</t>
  </si>
  <si>
    <t>million km2</t>
  </si>
  <si>
    <t>http://www.civilizationsfuture.com/bsundquist/la2.html</t>
  </si>
  <si>
    <t>% of Ice-F.L used by Livestock and grain</t>
  </si>
  <si>
    <t>Total area for grazing</t>
  </si>
  <si>
    <t>FAO 2012</t>
  </si>
  <si>
    <t>Ref 1</t>
  </si>
  <si>
    <t>Ref 2</t>
  </si>
  <si>
    <t>Ref 3</t>
  </si>
  <si>
    <t>Total area of grazing and fodder production</t>
  </si>
  <si>
    <t>http://www.fao.org/uploads/media/grass_stats_1.pdf</t>
  </si>
  <si>
    <t>mha</t>
  </si>
  <si>
    <t>% livestock</t>
  </si>
  <si>
    <t>% increase in 2016</t>
  </si>
  <si>
    <t>total for eggs and dairy m2/cap/day</t>
  </si>
  <si>
    <t>Tofu (Poore and Nemecek - science https://science.sciencemag.org/content/360/6392/987</t>
  </si>
  <si>
    <t>m2/kg/yr</t>
  </si>
  <si>
    <t>Tofu  (kg)</t>
  </si>
  <si>
    <t>Meat total</t>
  </si>
  <si>
    <t>chickpeas</t>
  </si>
  <si>
    <t>https://www.tuco.ac.uk/ghgcalculator/index.html</t>
  </si>
  <si>
    <t>rice</t>
  </si>
  <si>
    <t>CO2e/cap/MFD saved by vegetarian</t>
  </si>
  <si>
    <t>Dairy and Egg</t>
  </si>
  <si>
    <t>per vegetarian day</t>
  </si>
  <si>
    <t>Net tonnes per hectare difference beween average forest and average agricultural land</t>
  </si>
  <si>
    <t>GHG from Habitat destruction in km per MFD</t>
  </si>
  <si>
    <t>kms equivalent from production of eggs and dairy</t>
  </si>
  <si>
    <t>kms equivalent from habitat destruction from eggs and dairy</t>
  </si>
  <si>
    <t>Net impact of dairy and eggs</t>
  </si>
  <si>
    <t>Amount of CO2 in kg not released by habitat destruction per vegetarian day</t>
  </si>
  <si>
    <t>Amount of CO2 in kg not released by habitat destruction per non egg or dairy day</t>
  </si>
  <si>
    <t>area of forest in M2 saved per MFD</t>
  </si>
  <si>
    <t>Area of forest in m2 saved per non egg &amp; dairy day</t>
  </si>
  <si>
    <t>Total GHG for eggs &amp; dairy</t>
  </si>
  <si>
    <t>Total equivalents in driving a car in kms of GHG saved from giving up eggs and dairy per day</t>
  </si>
  <si>
    <t>NA</t>
  </si>
  <si>
    <t xml:space="preserve">per dairy &amp; </t>
  </si>
  <si>
    <t>egg free day</t>
  </si>
  <si>
    <t>Vegetarian &amp; Vegan</t>
  </si>
  <si>
    <t>The vegan metric is an increase in the user's costs since being a vegan is more expensive than being on the standard OECD diet</t>
  </si>
  <si>
    <t>Total CO2e in 2018</t>
  </si>
  <si>
    <t>Gt</t>
  </si>
  <si>
    <t>Total CO2 from tropical rainforest 2017</t>
  </si>
  <si>
    <t>https://www.pbl.nl/en/publications/trends-in-global-co2-and-totaal-greenhouse-gas-emissions-summary-of-the-2019-report</t>
  </si>
  <si>
    <t>https://www.wri.org/blog/2018/10/numbers-value-tropical-forests-climate-change-equation</t>
  </si>
  <si>
    <t>Stopping Habitat Destruction</t>
  </si>
  <si>
    <t>Total area destroyed</t>
  </si>
  <si>
    <t>Area of land less for vegan diet</t>
  </si>
  <si>
    <t>m2/yr</t>
  </si>
  <si>
    <t>https://www.worldometers.info/world-population/</t>
  </si>
  <si>
    <t>Assuming a 2020 population growth rate of 1.05%</t>
  </si>
  <si>
    <t>http://media.bom.gov.au/social/blog/39/when-dam-size-matters/</t>
  </si>
  <si>
    <t>Total Human water use in litres/yr</t>
  </si>
  <si>
    <t>or % of total water use</t>
  </si>
  <si>
    <t>billion</t>
  </si>
  <si>
    <t>or reduce total fish catch</t>
  </si>
  <si>
    <t>Total fish caughts</t>
  </si>
  <si>
    <t>https://www.worldometers.info/water/</t>
  </si>
  <si>
    <t>TDC IMFDs ha</t>
  </si>
  <si>
    <t>% reduction</t>
  </si>
  <si>
    <t>TDC tonnes CO2eq.</t>
  </si>
  <si>
    <t>Humanities</t>
  </si>
  <si>
    <t>Tonnes of CO2eq</t>
  </si>
  <si>
    <t>TDC reduction of GHG</t>
  </si>
  <si>
    <t>Total water withdrawal</t>
  </si>
  <si>
    <t>http://www.fao.org/aquastat/en/overview/methodology/water-use</t>
  </si>
  <si>
    <t>km3/yr</t>
  </si>
  <si>
    <t>TDC 2019</t>
  </si>
  <si>
    <t>lt/yr</t>
  </si>
  <si>
    <t>m3/yr</t>
  </si>
  <si>
    <t>% of global water reduced</t>
  </si>
  <si>
    <t>Total CO2eq kg/dy</t>
  </si>
  <si>
    <t>Total OECD per day</t>
  </si>
  <si>
    <t>Pigs</t>
  </si>
  <si>
    <t>Meat from Pig</t>
  </si>
  <si>
    <t>https://www.motherearthnews.com/homesteading-and-livestock/how-much-meat-can-one-pig-produce-zbcz1902</t>
  </si>
  <si>
    <t>Fraction of pig per day</t>
  </si>
  <si>
    <t>https://www.oda.state.ok.us/food/fs-hogweight.pdf</t>
  </si>
  <si>
    <t>https://www.iccat.int/Documents/CVSP/CV058_2005/n_4/CV058041271.pdf</t>
  </si>
  <si>
    <t>weight loss as a result of gilled and gutted</t>
  </si>
  <si>
    <t>http://theedibleocean.blogspot.com/2014/02/eating-whole-fish.html</t>
  </si>
  <si>
    <t>To get caught weight double weight</t>
  </si>
  <si>
    <t>tonnes</t>
  </si>
  <si>
    <t>Tonnes caught</t>
  </si>
  <si>
    <t>% reduced</t>
  </si>
  <si>
    <t>Capped at one year</t>
  </si>
  <si>
    <t>Total vegetarian</t>
  </si>
  <si>
    <t>GHG in km per MFD from meat production</t>
  </si>
  <si>
    <t>This will be capped at some point</t>
  </si>
  <si>
    <t>$/Tonnes of CO2eq</t>
  </si>
  <si>
    <t>Aeroplane hours</t>
  </si>
  <si>
    <t>Distance of travel</t>
  </si>
  <si>
    <t>litres/MFDs</t>
  </si>
  <si>
    <t>Hours in plane/MFD</t>
  </si>
  <si>
    <t>Ha per second</t>
  </si>
  <si>
    <t>Soccer pitchs</t>
  </si>
  <si>
    <t>per second</t>
  </si>
  <si>
    <t>Vatican City</t>
  </si>
  <si>
    <t>Europe</t>
  </si>
  <si>
    <t>Italy</t>
  </si>
  <si>
    <t>Monaco</t>
  </si>
  <si>
    <t>France</t>
  </si>
  <si>
    <t>Nauru</t>
  </si>
  <si>
    <t>Australia and Oceania</t>
  </si>
  <si>
    <t>-</t>
  </si>
  <si>
    <t>Tuvalu</t>
  </si>
  <si>
    <t>San Marino</t>
  </si>
  <si>
    <t>Liechtenstein</t>
  </si>
  <si>
    <t>Austria, Switzerland</t>
  </si>
  <si>
    <t>Marshall Islands</t>
  </si>
  <si>
    <t>Saint Kitts and Nevis</t>
  </si>
  <si>
    <t>North America</t>
  </si>
  <si>
    <t>Maldives</t>
  </si>
  <si>
    <t>Asia</t>
  </si>
  <si>
    <t>Malta</t>
  </si>
  <si>
    <t>Grenada</t>
  </si>
  <si>
    <t>Saint Vincent and the Grenadines</t>
  </si>
  <si>
    <t>Barbados</t>
  </si>
  <si>
    <t>Antigua and Barbuda</t>
  </si>
  <si>
    <t>Seychelles</t>
  </si>
  <si>
    <t>Africa</t>
  </si>
  <si>
    <t>Palau</t>
  </si>
  <si>
    <t>Andorra</t>
  </si>
  <si>
    <t>France, Spain</t>
  </si>
  <si>
    <t>Saint Lucia</t>
  </si>
  <si>
    <t>Micronesia</t>
  </si>
  <si>
    <t>Singapore</t>
  </si>
  <si>
    <t>Tonga</t>
  </si>
  <si>
    <t>Dominica</t>
  </si>
  <si>
    <t>Bahrain</t>
  </si>
  <si>
    <t>Kiribati</t>
  </si>
  <si>
    <t>Sao Tome and Principe</t>
  </si>
  <si>
    <t>Mauritius</t>
  </si>
  <si>
    <t>Comoros</t>
  </si>
  <si>
    <t>Luxembourg</t>
  </si>
  <si>
    <t>Belgium, France, Germany</t>
  </si>
  <si>
    <t>Samoa</t>
  </si>
  <si>
    <t>Cabo Verde</t>
  </si>
  <si>
    <t>Trinidad and Tobago</t>
  </si>
  <si>
    <t>Brunei</t>
  </si>
  <si>
    <t>Malaysia</t>
  </si>
  <si>
    <t>Palestine</t>
  </si>
  <si>
    <t>Egypt, Israel, Jordan</t>
  </si>
  <si>
    <t>Cyprus</t>
  </si>
  <si>
    <t>United Kingdom (Akrotiri and Dhekelia)</t>
  </si>
  <si>
    <t>Lebanon</t>
  </si>
  <si>
    <t>Israel, Syria</t>
  </si>
  <si>
    <t>Kosovo</t>
  </si>
  <si>
    <t>Albania, North Macedonia, Montenegro, Serbia</t>
  </si>
  <si>
    <t>Jamaica</t>
  </si>
  <si>
    <t>Gambia</t>
  </si>
  <si>
    <t>Senegal</t>
  </si>
  <si>
    <t>Qatar</t>
  </si>
  <si>
    <t>Saudi Arabia</t>
  </si>
  <si>
    <t>Vanuatu</t>
  </si>
  <si>
    <t>Montenegro</t>
  </si>
  <si>
    <t>Albania, Bosnia and Herzegovina, Croatia, Kosovo, Serbia</t>
  </si>
  <si>
    <t>Bahamas</t>
  </si>
  <si>
    <t>Timor-Leste</t>
  </si>
  <si>
    <t>Indonesia</t>
  </si>
  <si>
    <t>Eswatini</t>
  </si>
  <si>
    <t>Mozambique, South Africa</t>
  </si>
  <si>
    <t>Kuwait</t>
  </si>
  <si>
    <t>Iraq, Saudi Arabia</t>
  </si>
  <si>
    <t>Fiji</t>
  </si>
  <si>
    <t>Slovenia</t>
  </si>
  <si>
    <t>Austria, Croatia, Hungary, Italy</t>
  </si>
  <si>
    <t>Israel</t>
  </si>
  <si>
    <t>Egypt, Jordan, Lebanon, Palestine (Gaza Strip and West Bank), Syria</t>
  </si>
  <si>
    <t>El Salvador</t>
  </si>
  <si>
    <t>Guatemala, Honduras</t>
  </si>
  <si>
    <t>Belize</t>
  </si>
  <si>
    <t>Guatemala, Mexico</t>
  </si>
  <si>
    <t>Djibouti</t>
  </si>
  <si>
    <t>Eritrea, Ethiopia, Somalia</t>
  </si>
  <si>
    <t>North Macedonia</t>
  </si>
  <si>
    <t>Albania, Bulgaria, Greece, Kosovo, Serbia</t>
  </si>
  <si>
    <t>Rwanda</t>
  </si>
  <si>
    <t>Burundi, Democratic Republic of the Congo, Tanzania, Uganda</t>
  </si>
  <si>
    <t>Haiti</t>
  </si>
  <si>
    <t>Dominican Republic</t>
  </si>
  <si>
    <t>Burundi</t>
  </si>
  <si>
    <t>Democratic Republic of the Congo, Rwanda, Tanzania</t>
  </si>
  <si>
    <t>Equatorial Guinea</t>
  </si>
  <si>
    <t>Cameroon, Gabon</t>
  </si>
  <si>
    <t>Albania</t>
  </si>
  <si>
    <t>Greece, Kosovo, North Macedonia, Montenegro</t>
  </si>
  <si>
    <t>Solomon Islands</t>
  </si>
  <si>
    <t>Armenia</t>
  </si>
  <si>
    <t>Azerbaijan, Georgia, Iran, Turkey</t>
  </si>
  <si>
    <t>Lesotho</t>
  </si>
  <si>
    <t>South Africa</t>
  </si>
  <si>
    <t>Belgium</t>
  </si>
  <si>
    <t>France, Germany, Luxembourg, Netherlands</t>
  </si>
  <si>
    <t>Moldova</t>
  </si>
  <si>
    <t>Romania, Ukraine</t>
  </si>
  <si>
    <t>Taiwan</t>
  </si>
  <si>
    <t>Guinea-Bissau</t>
  </si>
  <si>
    <t>Guinea, Senegal</t>
  </si>
  <si>
    <t>Bhutan</t>
  </si>
  <si>
    <t>China, India</t>
  </si>
  <si>
    <t>Switzerland</t>
  </si>
  <si>
    <t>Austria, France, Italy, Liechtenstein, Germany</t>
  </si>
  <si>
    <r>
      <t>Netherlands </t>
    </r>
    <r>
      <rPr>
        <i/>
        <sz val="14"/>
        <color rgb="FF333333"/>
        <rFont val="Times New Roman"/>
        <family val="1"/>
      </rPr>
      <t>(incl. overseas territories)</t>
    </r>
  </si>
  <si>
    <r>
      <t>Belgium, Germany. France </t>
    </r>
    <r>
      <rPr>
        <i/>
        <sz val="14"/>
        <color rgb="FF333333"/>
        <rFont val="Times New Roman"/>
        <family val="1"/>
      </rPr>
      <t>borders with the overseas territory of Netherlands in North America (Sint Maarten)</t>
    </r>
    <r>
      <rPr>
        <sz val="9.6999999999999993"/>
        <color rgb="FF222222"/>
        <rFont val="Tahoma"/>
        <family val="2"/>
      </rPr>
      <t>.</t>
    </r>
  </si>
  <si>
    <t>Estonia</t>
  </si>
  <si>
    <t>Latvia, Russia</t>
  </si>
  <si>
    <t>Slovakia</t>
  </si>
  <si>
    <t>Austria, Czechia, Hungary, Poland, Ukraine</t>
  </si>
  <si>
    <t>Costa Rica</t>
  </si>
  <si>
    <t>Nicaragua, Panama</t>
  </si>
  <si>
    <t>Bosnia and Herzegovina</t>
  </si>
  <si>
    <t>Croatia, Montenegro, Serbia</t>
  </si>
  <si>
    <t>Croatia</t>
  </si>
  <si>
    <t>Bosnia and Herzegovina, Hungary, Montenegro, Serbia, Slovenia</t>
  </si>
  <si>
    <t>Togo</t>
  </si>
  <si>
    <t>Benin, Burkina Faso, Ghana</t>
  </si>
  <si>
    <t>Latvia</t>
  </si>
  <si>
    <t>Belarus, Estonia, Lithuania, Russia</t>
  </si>
  <si>
    <t>Lithuania</t>
  </si>
  <si>
    <t>Belarus, Latvia, Poland, Russia (Kaliningrad Oblast)</t>
  </si>
  <si>
    <t>Sri Lanka</t>
  </si>
  <si>
    <t>Georgia</t>
  </si>
  <si>
    <t>Asia / Europe</t>
  </si>
  <si>
    <t>Armenia, Azerbaijan, Russia, Turkey</t>
  </si>
  <si>
    <t>Ireland</t>
  </si>
  <si>
    <t>United Kingdom</t>
  </si>
  <si>
    <t>Sierra Leone</t>
  </si>
  <si>
    <t>Guinea, Liberia</t>
  </si>
  <si>
    <t>Panama</t>
  </si>
  <si>
    <t>Colombia, Costa Rica</t>
  </si>
  <si>
    <t>Serbia</t>
  </si>
  <si>
    <t>Bosnia and Herzegovina, Bulgaria, Croatia, Hungary, Kosovo, North Macedonia, Montenegro, Romania</t>
  </si>
  <si>
    <t>Czechia</t>
  </si>
  <si>
    <t>Austria, Germany, Poland, Slovakia</t>
  </si>
  <si>
    <t>United Arab Emirates</t>
  </si>
  <si>
    <t>Oman, Saudi Arabia</t>
  </si>
  <si>
    <t>Austria</t>
  </si>
  <si>
    <t>Czechia, Germany, Hungary, Italy, Liechtenstein, Slovakia, Slovenia, Switzerland</t>
  </si>
  <si>
    <t>Azerbaijan</t>
  </si>
  <si>
    <t>Armenia, Georgia, Iran, Russia, Turkey</t>
  </si>
  <si>
    <t>Jordan</t>
  </si>
  <si>
    <t>Iraq, Israel, Palestine (West Bank), Saudi Arabia, Syria</t>
  </si>
  <si>
    <t>Portugal</t>
  </si>
  <si>
    <t>Spain</t>
  </si>
  <si>
    <t>Hungary</t>
  </si>
  <si>
    <t>Austria, Croatia, Romania, Serbia, Slovakia, Slovenia, Ukraine</t>
  </si>
  <si>
    <t>South Korea</t>
  </si>
  <si>
    <t>North Korea</t>
  </si>
  <si>
    <t>Iceland</t>
  </si>
  <si>
    <t>Guatemala</t>
  </si>
  <si>
    <t>Belize, El Salvador, Honduras, Mexico</t>
  </si>
  <si>
    <t>Cuba</t>
  </si>
  <si>
    <t>Bulgaria</t>
  </si>
  <si>
    <t>Greece, North Macedonia, Romania, Serbia, Turkey</t>
  </si>
  <si>
    <t>Liberia</t>
  </si>
  <si>
    <t>Cote d'Ivoire, Guinea, Sierra Leone</t>
  </si>
  <si>
    <t>Honduras</t>
  </si>
  <si>
    <t>El Salvador, Guatemala, Nicaragu</t>
  </si>
  <si>
    <t>Benin</t>
  </si>
  <si>
    <t>Burkina Faso, Niger, Nigeria, Togo </t>
  </si>
  <si>
    <t>Eritrea</t>
  </si>
  <si>
    <t>Djibouti, Ethiopia, Sudan</t>
  </si>
  <si>
    <t>Malawi</t>
  </si>
  <si>
    <t>Mozambique, Tanzania, Zambia</t>
  </si>
  <si>
    <t>China, South Korea, Russia</t>
  </si>
  <si>
    <t>miles2</t>
  </si>
  <si>
    <t>England, scotland and Wales</t>
  </si>
  <si>
    <t>GHG from Meat Production</t>
  </si>
  <si>
    <t>GHG from Habitat Destruction</t>
  </si>
  <si>
    <t>Total GHG</t>
  </si>
  <si>
    <t>(Mostly capped at one year)</t>
  </si>
  <si>
    <t>Numbers</t>
  </si>
  <si>
    <t>Day</t>
  </si>
  <si>
    <t>Olympic swimming</t>
  </si>
  <si>
    <t>Meat consumption</t>
  </si>
  <si>
    <t>Habitat destruction</t>
  </si>
  <si>
    <t>Dairy &amp; Egg</t>
  </si>
  <si>
    <t>Vegan</t>
  </si>
  <si>
    <t>kgCO2e/MFD</t>
  </si>
  <si>
    <t>GHG from meat production</t>
  </si>
  <si>
    <t>GHG from habitat destruction</t>
  </si>
  <si>
    <t>C02eq kg</t>
  </si>
  <si>
    <t>Land-based meat pd</t>
  </si>
  <si>
    <t>Land-based meat py</t>
  </si>
  <si>
    <t>Meat &amp; Fish per day (pd)</t>
  </si>
  <si>
    <t>Meat &amp; Fish per year (py)</t>
  </si>
  <si>
    <t>MFDs</t>
  </si>
  <si>
    <t>Landbased</t>
  </si>
  <si>
    <t>ref</t>
  </si>
  <si>
    <t>Aquatic</t>
  </si>
  <si>
    <t>mtonnes</t>
  </si>
  <si>
    <t>b</t>
  </si>
  <si>
    <t>https://ourworldindata.org/meat-production</t>
  </si>
  <si>
    <t>http://www.fao.org/state-of-fisheries-aquaculture</t>
  </si>
  <si>
    <t>meat and fish</t>
  </si>
  <si>
    <t>kg/cap</t>
  </si>
  <si>
    <t>Total increase</t>
  </si>
  <si>
    <t>Number of users</t>
  </si>
  <si>
    <t>meat saved</t>
  </si>
  <si>
    <t>mt</t>
  </si>
  <si>
    <t>mkg</t>
  </si>
  <si>
    <t>2018 - 2050</t>
  </si>
  <si>
    <t>https://ourworldindata.org/grapher/global-meat-projections-to-2050</t>
  </si>
  <si>
    <t>Global consumption of terrestrial meat</t>
  </si>
  <si>
    <t>Total land meat without eggs</t>
  </si>
  <si>
    <t>Transfered from Halt increase spreadsheet</t>
  </si>
  <si>
    <t>miles 2</t>
  </si>
  <si>
    <t>Meat from Lamb and Sheep</t>
  </si>
  <si>
    <t>Pounds</t>
  </si>
  <si>
    <t>http://www.thefatewe.com/how-much-meat-do-you-get.html</t>
  </si>
  <si>
    <t>48%-52%</t>
  </si>
  <si>
    <t>Meat left</t>
  </si>
  <si>
    <t>Sheep</t>
  </si>
  <si>
    <t xml:space="preserve">45%-60% </t>
  </si>
  <si>
    <t>Of table ready</t>
  </si>
  <si>
    <t>100 pound lamb</t>
  </si>
  <si>
    <t>Dressing at 50%</t>
  </si>
  <si>
    <t>Table at 52%</t>
  </si>
  <si>
    <t>Fraction of lamb per day</t>
  </si>
  <si>
    <t>Lambs</t>
  </si>
  <si>
    <t>Increase per 2 months</t>
  </si>
  <si>
    <t>Target</t>
  </si>
  <si>
    <t>Total for year</t>
  </si>
  <si>
    <t>success for failure</t>
  </si>
  <si>
    <t>target</t>
  </si>
  <si>
    <t>CO2e kg/dy from Habitat Destruction for livestock</t>
  </si>
  <si>
    <t>CO2e kg per day from direct meat production</t>
  </si>
  <si>
    <t>units</t>
  </si>
  <si>
    <t>Total MFDs to offset all Greenhouse gases</t>
  </si>
  <si>
    <t>Total global emissions 2012</t>
  </si>
  <si>
    <t>CO2eq. kt/yr</t>
  </si>
  <si>
    <t>https://data.worldbank.org/indicator/en.atm.ghgt.kt.ce?end=2012&amp;start=2006</t>
  </si>
  <si>
    <t>World bank</t>
  </si>
  <si>
    <t>Total saving for 1 MFD</t>
  </si>
  <si>
    <t>CO2eq. Kt/day</t>
  </si>
  <si>
    <t>Total number of MFDs to offset all greenhouse</t>
  </si>
  <si>
    <t>$ Per tonne of CO2</t>
  </si>
  <si>
    <t>Total CO2eq tonnes</t>
  </si>
  <si>
    <t>Tennis courts per minute Australia</t>
  </si>
  <si>
    <t>Area per year ha</t>
  </si>
  <si>
    <t>tennis courts/yr</t>
  </si>
  <si>
    <t>tennis C/hr</t>
  </si>
  <si>
    <t>tennis C/sec</t>
  </si>
  <si>
    <t>2 Months period</t>
  </si>
  <si>
    <t>IMFDs</t>
  </si>
  <si>
    <t>Having 2 IMFDs</t>
  </si>
  <si>
    <t>IMFDs per week to reduce Habitat destruction by 74%</t>
  </si>
  <si>
    <t>Total IMFDs</t>
  </si>
  <si>
    <t>IMFD/yr to reduce HD by 74%</t>
  </si>
  <si>
    <t>Required growth of IMFDs/yr</t>
  </si>
  <si>
    <t>Actual IMFDs at start of year</t>
  </si>
  <si>
    <t>Actual IMFDs at end of year</t>
  </si>
  <si>
    <t>Actual MFDs at start of year</t>
  </si>
  <si>
    <t>Year</t>
  </si>
  <si>
    <t>IMFDs per year</t>
  </si>
  <si>
    <t>Project IMFDs to hit target</t>
  </si>
  <si>
    <t>IMFDs per half year</t>
  </si>
  <si>
    <t>% ahead or behind target</t>
  </si>
  <si>
    <t>Actual IMFDs half way through the year</t>
  </si>
  <si>
    <t>% change to half way through year</t>
  </si>
  <si>
    <t>Annual increase</t>
  </si>
  <si>
    <t>% increase</t>
  </si>
  <si>
    <t>Year on year to get 140% per year</t>
  </si>
  <si>
    <t>% change from previous year</t>
  </si>
  <si>
    <t>Increase per month</t>
  </si>
  <si>
    <t>Actual</t>
  </si>
  <si>
    <t>N&amp;D 2018</t>
  </si>
  <si>
    <t>M&amp;A</t>
  </si>
  <si>
    <t>M&amp;J</t>
  </si>
  <si>
    <t>J&amp;A</t>
  </si>
  <si>
    <t>S&amp;O</t>
  </si>
  <si>
    <t>N&amp;D</t>
  </si>
  <si>
    <t>J&amp;F 2019</t>
  </si>
  <si>
    <t>J&amp;F 2020</t>
  </si>
  <si>
    <t>Actual IMFDs</t>
  </si>
  <si>
    <t>Actual % increase</t>
  </si>
  <si>
    <t>Total 2019</t>
  </si>
  <si>
    <t>Total for 2018</t>
  </si>
  <si>
    <t>Projected</t>
  </si>
  <si>
    <t>projected IMFDs</t>
  </si>
  <si>
    <t>Total 2020</t>
  </si>
  <si>
    <t>2 monthly increase</t>
  </si>
  <si>
    <t>Hit 2 year 140%</t>
  </si>
  <si>
    <t>Total for 2019</t>
  </si>
  <si>
    <t>Total for 2020</t>
  </si>
  <si>
    <t>Australian cars off the road per yr</t>
  </si>
  <si>
    <t>Land Animals</t>
  </si>
  <si>
    <t>Cow and Bulls</t>
  </si>
  <si>
    <t>vegan</t>
  </si>
  <si>
    <t>Units</t>
  </si>
  <si>
    <t xml:space="preserve">vegan </t>
  </si>
  <si>
    <t>results</t>
  </si>
  <si>
    <t>day</t>
  </si>
  <si>
    <t>US$ 10</t>
  </si>
  <si>
    <t>person</t>
  </si>
  <si>
    <t>1 cattle</t>
  </si>
  <si>
    <t>pig</t>
  </si>
  <si>
    <t>chicken</t>
  </si>
  <si>
    <t>lamb</t>
  </si>
  <si>
    <t>100 fish and prawns</t>
  </si>
  <si>
    <t>1 car off road</t>
  </si>
  <si>
    <t>1st Tennis court</t>
  </si>
  <si>
    <t>100 bath</t>
  </si>
  <si>
    <t>Tonnes/yr/car</t>
  </si>
  <si>
    <t>Australian Average kg/km of CO2</t>
  </si>
  <si>
    <t>Total MFD per year</t>
  </si>
  <si>
    <t>Increase from previous year</t>
  </si>
  <si>
    <t>Starting point</t>
  </si>
  <si>
    <t>Q1</t>
  </si>
  <si>
    <t>Q2</t>
  </si>
  <si>
    <t>Q3</t>
  </si>
  <si>
    <t>Q4</t>
  </si>
  <si>
    <t>result</t>
  </si>
  <si>
    <t>Quarterly target</t>
  </si>
  <si>
    <t>Weekly target</t>
  </si>
  <si>
    <t>https://green.harvard.edu/tools-resources/green-tip/4-ways-measure-5-minute-shower</t>
  </si>
  <si>
    <t>USA average shower is 8 minutes using 75 litres</t>
  </si>
  <si>
    <t>Showers</t>
  </si>
  <si>
    <t xml:space="preserve">or </t>
  </si>
  <si>
    <t>Years of showers</t>
  </si>
  <si>
    <t>Hyde Park Sydney</t>
  </si>
  <si>
    <t>COVID</t>
  </si>
  <si>
    <t>Tonnes of meat</t>
  </si>
  <si>
    <t>Kg</t>
  </si>
  <si>
    <t>gms</t>
  </si>
  <si>
    <t>OECD gram per day</t>
  </si>
  <si>
    <t>Per MFD</t>
  </si>
  <si>
    <t>COVID case</t>
  </si>
  <si>
    <t>Number of MFD to save one COVID case</t>
  </si>
  <si>
    <t>COVID cases</t>
  </si>
  <si>
    <t>https://www.worldometers.info/world-population/uk-population/</t>
  </si>
  <si>
    <t>UK Population 2020</t>
  </si>
  <si>
    <t>UK</t>
  </si>
  <si>
    <t>Area of Forest</t>
  </si>
  <si>
    <t>Saving per MFD</t>
  </si>
  <si>
    <t>Area/dy</t>
  </si>
  <si>
    <t>Area/yr</t>
  </si>
  <si>
    <t>Total Population</t>
  </si>
  <si>
    <t>Km/day</t>
  </si>
  <si>
    <t>Km/yr</t>
  </si>
  <si>
    <t>Yorkshire dales</t>
  </si>
  <si>
    <t>Northumberland</t>
  </si>
  <si>
    <t>Brecon Beacons</t>
  </si>
  <si>
    <t>The Broads</t>
  </si>
  <si>
    <t>New Forest</t>
  </si>
  <si>
    <t>South Downs</t>
  </si>
  <si>
    <t>All national Parks in England</t>
  </si>
  <si>
    <t>If 1MFD per week</t>
  </si>
  <si>
    <t>Size of Wales</t>
  </si>
  <si>
    <t>Distance to the sun</t>
  </si>
  <si>
    <t>Number of times to the sun</t>
  </si>
  <si>
    <t>Human Health</t>
  </si>
  <si>
    <t>Human Rights</t>
  </si>
  <si>
    <t>Animal welfare</t>
  </si>
  <si>
    <t>CO2</t>
  </si>
  <si>
    <t>Marine Reserve</t>
  </si>
  <si>
    <t>https://lginform.local.gov.uk/reports/lgastandard?mod-metric=232&amp;mod-area=E92000001&amp;mod-group=AllRegions_England&amp;mod-type=namedComparisonGroup</t>
  </si>
  <si>
    <t>Hourly rate</t>
  </si>
  <si>
    <t>hours</t>
  </si>
  <si>
    <t>Plamena</t>
  </si>
  <si>
    <t>Chris</t>
  </si>
  <si>
    <t>Jac</t>
  </si>
  <si>
    <t>Ross</t>
  </si>
  <si>
    <t>Trevor</t>
  </si>
  <si>
    <t>Mike D</t>
  </si>
  <si>
    <t>Jonny</t>
  </si>
  <si>
    <t>George</t>
  </si>
  <si>
    <t>Evian</t>
  </si>
  <si>
    <t>Glen P</t>
  </si>
  <si>
    <t>Julie Berry</t>
  </si>
  <si>
    <t>Allens</t>
  </si>
  <si>
    <t>Total forest saved</t>
  </si>
  <si>
    <t>Total costs</t>
  </si>
  <si>
    <t>Total Healthcare saving</t>
  </si>
  <si>
    <t>$</t>
  </si>
  <si>
    <t>Health</t>
  </si>
  <si>
    <t>Biodiversity</t>
  </si>
  <si>
    <t>$/ha</t>
  </si>
  <si>
    <t>Oceans</t>
  </si>
  <si>
    <t>Fresh Water</t>
  </si>
  <si>
    <t>Climate Change</t>
  </si>
  <si>
    <t>Seven issues</t>
  </si>
  <si>
    <t>The Hungry</t>
  </si>
  <si>
    <t>Climate Change Lt/year</t>
  </si>
  <si>
    <t>$/tn</t>
  </si>
  <si>
    <t>$/person</t>
  </si>
  <si>
    <t>$/animal</t>
  </si>
  <si>
    <t>Ha/hr</t>
  </si>
  <si>
    <t>Tn/hr</t>
  </si>
  <si>
    <t>People/hr</t>
  </si>
  <si>
    <t>Animals per hour</t>
  </si>
  <si>
    <t>$/hr</t>
  </si>
  <si>
    <t>M3/hr</t>
  </si>
  <si>
    <t>$/$ saved</t>
  </si>
  <si>
    <t>IMFDs under or over target</t>
  </si>
  <si>
    <t>Half year MFD</t>
  </si>
  <si>
    <t>MFDS/yr</t>
  </si>
  <si>
    <t>Hit or miss target</t>
  </si>
  <si>
    <t>% miss or hit</t>
  </si>
  <si>
    <t>Total MFDs at end of year</t>
  </si>
  <si>
    <t>Per week</t>
  </si>
  <si>
    <t>Extra needed</t>
  </si>
  <si>
    <t>MFD per user</t>
  </si>
  <si>
    <t>Extra users</t>
  </si>
  <si>
    <t>current users</t>
  </si>
  <si>
    <t>Growth in 2022</t>
  </si>
  <si>
    <t>Number</t>
  </si>
  <si>
    <t>Percentage increase</t>
  </si>
  <si>
    <t>Melbourne Population</t>
  </si>
  <si>
    <t>Sydney Population</t>
  </si>
  <si>
    <t>% Millennial women</t>
  </si>
  <si>
    <t>Waitrose Supermarkets estimate that 1/3 reducing their meat consumption</t>
  </si>
  <si>
    <t>Classic</t>
  </si>
  <si>
    <t>Number of millennial</t>
  </si>
  <si>
    <t>Red meat</t>
  </si>
  <si>
    <t>(beef, pork and lamb)</t>
  </si>
  <si>
    <t>In life time</t>
  </si>
  <si>
    <t>https://www.oecd.org/berlin/47570143.pdf</t>
  </si>
  <si>
    <t>OECD Life expectancy from birth</t>
  </si>
  <si>
    <t>Chance of getting Diabetes if you do not have 100gm of red meat per day</t>
  </si>
  <si>
    <t>World population</t>
  </si>
  <si>
    <t>https://www.worldometers.info/world-population/world-population-projections/</t>
  </si>
  <si>
    <t>Increase</t>
  </si>
  <si>
    <t>IMFD/yr to reduce HD by 74% adjusted for future population</t>
  </si>
  <si>
    <t>2021 to 2034 increase in global population</t>
  </si>
  <si>
    <t>Annual MFDs</t>
  </si>
  <si>
    <t>Per Year MFD</t>
  </si>
  <si>
    <t>Number of EH, having 2 IMFD per week</t>
  </si>
  <si>
    <t>km driven equiv for meat production</t>
  </si>
  <si>
    <t>Km driven equiv from Habitat destruction</t>
  </si>
  <si>
    <t>Hours per week</t>
  </si>
  <si>
    <t>SP/10hr</t>
  </si>
  <si>
    <t>TC/10hr</t>
  </si>
  <si>
    <t>Lt/10hr</t>
  </si>
  <si>
    <t>tn/10hr</t>
  </si>
  <si>
    <t>Animals/10hr</t>
  </si>
  <si>
    <t>IMFDs/hr</t>
  </si>
  <si>
    <t>IMFDs/10hr</t>
  </si>
  <si>
    <t>Chris C</t>
  </si>
  <si>
    <t>If bonus is $1`</t>
  </si>
  <si>
    <t>If bonus is $5</t>
  </si>
  <si>
    <t>=</t>
  </si>
  <si>
    <t>2021 Oct</t>
  </si>
  <si>
    <t>Total users</t>
  </si>
  <si>
    <t>MFDs from Manual logging</t>
  </si>
  <si>
    <t>MFDs from Auto Logging</t>
  </si>
  <si>
    <t>AL % of total</t>
  </si>
  <si>
    <t>ML % of total</t>
  </si>
  <si>
    <t>Number of Auto loggers</t>
  </si>
  <si>
    <t>Number of Manual Loggers</t>
  </si>
  <si>
    <t>Inspired MFDs estimate</t>
  </si>
  <si>
    <t>Auto logger at 6 MFDs/wk</t>
  </si>
  <si>
    <t>Total MFDs/wk</t>
  </si>
  <si>
    <t>Manual Loggers MFD</t>
  </si>
  <si>
    <t>Average MFD/ML</t>
  </si>
  <si>
    <t>IMFD</t>
  </si>
  <si>
    <t>Total IMFD</t>
  </si>
  <si>
    <t>Estimate</t>
  </si>
  <si>
    <t>% of IMFDs</t>
  </si>
  <si>
    <t>Average MFD/wk per EH</t>
  </si>
  <si>
    <t>Ratio of IMFD:MFD</t>
  </si>
  <si>
    <t>MFD Target/yr</t>
  </si>
  <si>
    <t>MFDs counter on app at end of year if hit target</t>
  </si>
  <si>
    <t>Start of year</t>
  </si>
  <si>
    <t>end of year</t>
  </si>
  <si>
    <t>If 140%</t>
  </si>
  <si>
    <t>per week</t>
  </si>
  <si>
    <t>2019 target</t>
  </si>
  <si>
    <t>Beginning of year</t>
  </si>
  <si>
    <t>MFDs/week</t>
  </si>
  <si>
    <t>Average length of vegetarian or vegan</t>
  </si>
  <si>
    <t>https://animalcharityevaluators.org/research/dietary-impacts/vegetarian-recidivism/</t>
  </si>
  <si>
    <t>Reduction of all cancers</t>
  </si>
  <si>
    <t>Low meat</t>
  </si>
  <si>
    <t>Fishe eater</t>
  </si>
  <si>
    <t>Assuming average of</t>
  </si>
  <si>
    <t>2.5-6.5 years</t>
  </si>
  <si>
    <t>If vegetarian diet reduction per day</t>
  </si>
  <si>
    <t>Days in 4.5 years</t>
  </si>
  <si>
    <t>% drop in cancer</t>
  </si>
  <si>
    <t>% drop per day</t>
  </si>
  <si>
    <t>https://bmcmedicine.biomedcentral.com/track/pdf/10.1186/s12916-022-02256-w.pdf</t>
  </si>
  <si>
    <t>NB the above survey estimate was over 11 years. The question is did they check how many of the vegetarians were still vegetarian at the end?</t>
  </si>
  <si>
    <t xml:space="preserve">Vegan </t>
  </si>
  <si>
    <t>cars off the road for a year</t>
  </si>
  <si>
    <t>Starving children</t>
  </si>
  <si>
    <t>m2/day</t>
  </si>
  <si>
    <t>m2/second</t>
  </si>
  <si>
    <t>Soccer pitch/second</t>
  </si>
  <si>
    <t xml:space="preserve">Australia </t>
  </si>
  <si>
    <t>2010 to 2018</t>
  </si>
  <si>
    <t>https://www.abc.net.au/news/science/2020-10-08/deforestation-land-clearing-australia-state-by-state/12535438</t>
  </si>
  <si>
    <t>Breakdown of clearing by States and Territories</t>
  </si>
  <si>
    <t>2010-2018</t>
  </si>
  <si>
    <t>Federal Government National Greenhouse gases accounts</t>
  </si>
  <si>
    <t>per tennis court</t>
  </si>
  <si>
    <t>https://www.fao.org/3/ap106e/ap106e.pdf</t>
  </si>
  <si>
    <t>rate of increase</t>
  </si>
  <si>
    <t>million tonnes (I think, it does not specify in the article</t>
  </si>
  <si>
    <t>page 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</si>
</sst>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_);[Red]\(&quot;$&quot;#,##0\)"/>
    <numFmt numFmtId="8" formatCode="&quot;$&quot;#,##0.00_);[Red]\(&quot;$&quot;#,##0.00\)"/>
    <numFmt numFmtId="164" formatCode="[$£-809]#,##0.00"/>
    <numFmt numFmtId="165" formatCode="#,##0.0"/>
    <numFmt numFmtId="166" formatCode="#,##0.00000"/>
    <numFmt numFmtId="167" formatCode="#,##0.0000000"/>
    <numFmt numFmtId="168" formatCode="#,##0.0000"/>
    <numFmt numFmtId="169" formatCode="0.00000"/>
    <numFmt numFmtId="170" formatCode="0.000"/>
    <numFmt numFmtId="171" formatCode="#,##0.000"/>
    <numFmt numFmtId="172" formatCode="0.0000"/>
    <numFmt numFmtId="173" formatCode="&quot;$&quot;#,##0"/>
    <numFmt numFmtId="174" formatCode="[$$-C09]#,##0.00"/>
    <numFmt numFmtId="175" formatCode="0.000%"/>
    <numFmt numFmtId="176" formatCode="0.0000000"/>
    <numFmt numFmtId="177" formatCode="0.0%"/>
    <numFmt numFmtId="178" formatCode="0.000000%"/>
    <numFmt numFmtId="179" formatCode="0.00000000%"/>
    <numFmt numFmtId="180" formatCode="0.0000000%"/>
    <numFmt numFmtId="181" formatCode="#,##0.00000000000"/>
    <numFmt numFmtId="182" formatCode="&quot;$&quot;#,##0.00"/>
    <numFmt numFmtId="183" formatCode="0.0"/>
    <numFmt numFmtId="184" formatCode="0.0000%"/>
  </numFmts>
  <fonts count="36" x14ac:knownFonts="1">
    <font>
      <sz val="12"/>
      <color rgb="FF000000"/>
      <name val="Calibri"/>
    </font>
    <font>
      <b/>
      <u/>
      <sz val="12"/>
      <color rgb="FF000000"/>
      <name val="Calibri"/>
      <family val="2"/>
    </font>
    <font>
      <sz val="12"/>
      <name val="Calibri"/>
      <family val="2"/>
    </font>
    <font>
      <b/>
      <u/>
      <sz val="12"/>
      <color rgb="FF000000"/>
      <name val="Calibri"/>
      <family val="2"/>
    </font>
    <font>
      <b/>
      <sz val="12"/>
      <color rgb="FF000000"/>
      <name val="Calibri"/>
      <family val="2"/>
    </font>
    <font>
      <b/>
      <u/>
      <sz val="20"/>
      <color rgb="FF000000"/>
      <name val="Calibri"/>
      <family val="2"/>
    </font>
    <font>
      <b/>
      <u/>
      <sz val="18"/>
      <color rgb="FF000000"/>
      <name val="Calibri"/>
      <family val="2"/>
    </font>
    <font>
      <sz val="10"/>
      <color rgb="FF000000"/>
      <name val="Times New Roman"/>
      <family val="1"/>
    </font>
    <font>
      <sz val="12"/>
      <name val="Calibri"/>
      <family val="2"/>
    </font>
    <font>
      <b/>
      <u/>
      <sz val="16"/>
      <color rgb="FF000000"/>
      <name val="Calibri"/>
      <family val="2"/>
    </font>
    <font>
      <sz val="16"/>
      <color rgb="FF222222"/>
      <name val="Arial"/>
      <family val="2"/>
    </font>
    <font>
      <sz val="10"/>
      <color rgb="FF000000"/>
      <name val="Cambria"/>
      <family val="1"/>
    </font>
    <font>
      <b/>
      <u/>
      <sz val="12"/>
      <color rgb="FF000000"/>
      <name val="Calibri"/>
      <family val="2"/>
    </font>
    <font>
      <sz val="12"/>
      <color rgb="FFFF0000"/>
      <name val="Calibri"/>
      <family val="2"/>
    </font>
    <font>
      <sz val="10"/>
      <color rgb="FFFF0000"/>
      <name val="Times New Roman"/>
      <family val="1"/>
    </font>
    <font>
      <i/>
      <sz val="10"/>
      <color rgb="FF000000"/>
      <name val="Times New Roman"/>
      <family val="1"/>
    </font>
    <font>
      <u/>
      <sz val="12"/>
      <color theme="10"/>
      <name val="Calibri"/>
      <family val="2"/>
    </font>
    <font>
      <u/>
      <sz val="12"/>
      <color theme="11"/>
      <name val="Calibri"/>
      <family val="2"/>
    </font>
    <font>
      <b/>
      <u/>
      <sz val="12"/>
      <name val="Calibri"/>
      <family val="2"/>
    </font>
    <font>
      <b/>
      <sz val="16"/>
      <color rgb="FF000000"/>
      <name val="Calibri"/>
      <family val="2"/>
    </font>
    <font>
      <b/>
      <i/>
      <u/>
      <sz val="12"/>
      <color rgb="FF000000"/>
      <name val="Calibri"/>
      <family val="2"/>
    </font>
    <font>
      <b/>
      <i/>
      <sz val="12"/>
      <color rgb="FF000000"/>
      <name val="Calibri"/>
      <family val="2"/>
    </font>
    <font>
      <b/>
      <u/>
      <sz val="12"/>
      <color rgb="FFFF0000"/>
      <name val="Calibri"/>
      <family val="2"/>
    </font>
    <font>
      <b/>
      <sz val="15"/>
      <color indexed="8"/>
      <name val="Calibri"/>
      <family val="2"/>
    </font>
    <font>
      <b/>
      <sz val="17"/>
      <color indexed="8"/>
      <name val="Calibri"/>
      <family val="2"/>
    </font>
    <font>
      <sz val="12"/>
      <color rgb="FF000000"/>
      <name val="Cambria"/>
      <family val="1"/>
    </font>
    <font>
      <sz val="13.5"/>
      <color rgb="FFE60000"/>
      <name val="Tahoma"/>
      <family val="2"/>
    </font>
    <font>
      <sz val="12"/>
      <color rgb="FF0069FA"/>
      <name val="Tahoma"/>
      <family val="2"/>
    </font>
    <font>
      <sz val="17"/>
      <color rgb="FFCC4000"/>
      <name val="Tahoma"/>
      <family val="2"/>
    </font>
    <font>
      <sz val="9.6999999999999993"/>
      <color rgb="FF222222"/>
      <name val="Tahoma"/>
      <family val="2"/>
    </font>
    <font>
      <i/>
      <sz val="14"/>
      <color rgb="FF333333"/>
      <name val="Times New Roman"/>
      <family val="1"/>
    </font>
    <font>
      <sz val="12"/>
      <color rgb="FF000000"/>
      <name val="Tahoma"/>
      <family val="2"/>
    </font>
    <font>
      <sz val="12"/>
      <color rgb="FF000000"/>
      <name val="Calibri"/>
      <family val="2"/>
      <scheme val="minor"/>
    </font>
    <font>
      <sz val="12"/>
      <color rgb="FF000000"/>
      <name val="Calibri"/>
      <family val="2"/>
    </font>
    <font>
      <b/>
      <sz val="15"/>
      <color rgb="FF222222"/>
      <name val="Arial"/>
      <family val="2"/>
    </font>
    <font>
      <sz val="12"/>
      <color theme="1"/>
      <name val="Calibri"/>
      <family val="2"/>
    </font>
  </fonts>
  <fills count="13">
    <fill>
      <patternFill patternType="none"/>
    </fill>
    <fill>
      <patternFill patternType="gray125"/>
    </fill>
    <fill>
      <patternFill patternType="solid">
        <fgColor rgb="FFFFFF00"/>
        <bgColor rgb="FFFFFF00"/>
      </patternFill>
    </fill>
    <fill>
      <patternFill patternType="solid">
        <fgColor rgb="FFFF6600"/>
        <bgColor rgb="FFFF6600"/>
      </patternFill>
    </fill>
    <fill>
      <patternFill patternType="solid">
        <fgColor rgb="FFFFFFFF"/>
        <bgColor rgb="FFFFFFFF"/>
      </patternFill>
    </fill>
    <fill>
      <patternFill patternType="solid">
        <fgColor rgb="FFFFFF00"/>
        <bgColor indexed="64"/>
      </patternFill>
    </fill>
    <fill>
      <patternFill patternType="solid">
        <fgColor theme="5" tint="0.59999389629810485"/>
        <bgColor indexed="64"/>
      </patternFill>
    </fill>
    <fill>
      <patternFill patternType="solid">
        <fgColor rgb="FF24FF28"/>
        <bgColor indexed="64"/>
      </patternFill>
    </fill>
    <fill>
      <patternFill patternType="solid">
        <fgColor rgb="FF1FEE21"/>
        <bgColor indexed="64"/>
      </patternFill>
    </fill>
    <fill>
      <patternFill patternType="solid">
        <fgColor rgb="FFFF0000"/>
        <bgColor indexed="64"/>
      </patternFill>
    </fill>
    <fill>
      <patternFill patternType="solid">
        <fgColor rgb="FF23FF3B"/>
        <bgColor indexed="64"/>
      </patternFill>
    </fill>
    <fill>
      <patternFill patternType="solid">
        <fgColor rgb="FF0BFF55"/>
        <bgColor indexed="64"/>
      </patternFill>
    </fill>
    <fill>
      <patternFill patternType="solid">
        <fgColor rgb="FF05FF5B"/>
        <bgColor indexed="64"/>
      </patternFill>
    </fill>
  </fills>
  <borders count="3">
    <border>
      <left/>
      <right/>
      <top/>
      <bottom/>
      <diagonal/>
    </border>
    <border>
      <left/>
      <right/>
      <top/>
      <bottom/>
      <diagonal/>
    </border>
    <border>
      <left style="thin">
        <color indexed="10"/>
      </left>
      <right style="thin">
        <color indexed="10"/>
      </right>
      <top style="thin">
        <color indexed="10"/>
      </top>
      <bottom style="thin">
        <color indexed="10"/>
      </bottom>
      <diagonal/>
    </border>
  </borders>
  <cellStyleXfs count="325">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cellStyleXfs>
  <cellXfs count="168">
    <xf numFmtId="0" fontId="0" fillId="0" borderId="0" xfId="0" applyFont="1" applyAlignment="1"/>
    <xf numFmtId="0" fontId="0" fillId="2" borderId="1" xfId="0" applyFont="1" applyFill="1" applyBorder="1"/>
    <xf numFmtId="0" fontId="1" fillId="0" borderId="0" xfId="0" applyFont="1"/>
    <xf numFmtId="164" fontId="0" fillId="0" borderId="0" xfId="0" applyNumberFormat="1" applyFont="1"/>
    <xf numFmtId="0" fontId="2" fillId="0" borderId="0" xfId="0" applyFont="1"/>
    <xf numFmtId="4" fontId="2" fillId="0" borderId="0" xfId="0" applyNumberFormat="1" applyFont="1"/>
    <xf numFmtId="0" fontId="3" fillId="2" borderId="1" xfId="0" applyFont="1" applyFill="1" applyBorder="1"/>
    <xf numFmtId="3" fontId="2" fillId="0" borderId="0" xfId="0" applyNumberFormat="1" applyFont="1"/>
    <xf numFmtId="0" fontId="4" fillId="2" borderId="1" xfId="0" applyFont="1" applyFill="1" applyBorder="1"/>
    <xf numFmtId="165" fontId="2" fillId="0" borderId="0" xfId="0" applyNumberFormat="1" applyFont="1"/>
    <xf numFmtId="166" fontId="2" fillId="0" borderId="0" xfId="0" applyNumberFormat="1" applyFont="1"/>
    <xf numFmtId="167" fontId="2" fillId="0" borderId="0" xfId="0" applyNumberFormat="1" applyFont="1"/>
    <xf numFmtId="0" fontId="5" fillId="0" borderId="0" xfId="0" applyFont="1"/>
    <xf numFmtId="168" fontId="2" fillId="0" borderId="0" xfId="0" applyNumberFormat="1" applyFont="1"/>
    <xf numFmtId="10" fontId="0" fillId="0" borderId="0" xfId="0" applyNumberFormat="1" applyFont="1"/>
    <xf numFmtId="0" fontId="6" fillId="0" borderId="0" xfId="0" applyFont="1"/>
    <xf numFmtId="0" fontId="7" fillId="0" borderId="0" xfId="0" applyFont="1"/>
    <xf numFmtId="3" fontId="0" fillId="0" borderId="0" xfId="0" applyNumberFormat="1" applyFont="1"/>
    <xf numFmtId="169" fontId="0" fillId="0" borderId="0" xfId="0" applyNumberFormat="1" applyFont="1"/>
    <xf numFmtId="171" fontId="2" fillId="0" borderId="0" xfId="0" applyNumberFormat="1" applyFont="1"/>
    <xf numFmtId="169" fontId="0" fillId="2" borderId="1" xfId="0" applyNumberFormat="1" applyFont="1" applyFill="1" applyBorder="1"/>
    <xf numFmtId="0" fontId="0" fillId="0" borderId="0" xfId="0" applyFont="1"/>
    <xf numFmtId="169" fontId="8" fillId="0" borderId="0" xfId="0" applyNumberFormat="1" applyFont="1"/>
    <xf numFmtId="0" fontId="9" fillId="0" borderId="0" xfId="0" applyFont="1"/>
    <xf numFmtId="165" fontId="0" fillId="0" borderId="0" xfId="0" applyNumberFormat="1" applyFont="1"/>
    <xf numFmtId="0" fontId="10" fillId="0" borderId="0" xfId="0" applyFont="1"/>
    <xf numFmtId="0" fontId="11" fillId="0" borderId="0" xfId="0" applyFont="1"/>
    <xf numFmtId="16" fontId="0" fillId="0" borderId="0" xfId="0" applyNumberFormat="1" applyFont="1"/>
    <xf numFmtId="172" fontId="0" fillId="0" borderId="0" xfId="0" applyNumberFormat="1" applyFont="1"/>
    <xf numFmtId="167" fontId="0" fillId="0" borderId="0" xfId="0" applyNumberFormat="1" applyFont="1"/>
    <xf numFmtId="4" fontId="0" fillId="0" borderId="0" xfId="0" applyNumberFormat="1" applyFont="1"/>
    <xf numFmtId="3" fontId="0" fillId="3" borderId="1" xfId="0" applyNumberFormat="1" applyFont="1" applyFill="1" applyBorder="1"/>
    <xf numFmtId="0" fontId="0" fillId="3" borderId="1" xfId="0" applyFont="1" applyFill="1" applyBorder="1"/>
    <xf numFmtId="0" fontId="8" fillId="0" borderId="0" xfId="0" applyFont="1" applyAlignment="1">
      <alignment wrapText="1"/>
    </xf>
    <xf numFmtId="0" fontId="8" fillId="0" borderId="0" xfId="0" applyFont="1" applyAlignment="1"/>
    <xf numFmtId="0" fontId="8" fillId="4" borderId="0" xfId="0" applyFont="1" applyFill="1" applyAlignment="1">
      <alignment wrapText="1"/>
    </xf>
    <xf numFmtId="0" fontId="8" fillId="4" borderId="0" xfId="0" applyFont="1" applyFill="1" applyAlignment="1"/>
    <xf numFmtId="0" fontId="8" fillId="0" borderId="0" xfId="0" applyFont="1" applyAlignment="1">
      <alignment wrapText="1"/>
    </xf>
    <xf numFmtId="0" fontId="0" fillId="0" borderId="0" xfId="0" quotePrefix="1" applyFont="1"/>
    <xf numFmtId="0" fontId="13" fillId="0" borderId="0" xfId="0" applyFont="1"/>
    <xf numFmtId="2" fontId="0" fillId="0" borderId="0" xfId="0" applyNumberFormat="1" applyFont="1"/>
    <xf numFmtId="0" fontId="18" fillId="0" borderId="0" xfId="0" applyFont="1" applyAlignment="1">
      <alignment wrapText="1"/>
    </xf>
    <xf numFmtId="0" fontId="2" fillId="0" borderId="0" xfId="0" applyFont="1" applyAlignment="1">
      <alignment wrapText="1"/>
    </xf>
    <xf numFmtId="0" fontId="2" fillId="4" borderId="0" xfId="0" applyFont="1" applyFill="1" applyAlignment="1">
      <alignment wrapText="1"/>
    </xf>
    <xf numFmtId="0" fontId="0" fillId="5" borderId="0" xfId="0" applyFont="1" applyFill="1" applyAlignment="1"/>
    <xf numFmtId="0" fontId="1" fillId="5" borderId="0" xfId="0" applyFont="1" applyFill="1"/>
    <xf numFmtId="0" fontId="4" fillId="5" borderId="0" xfId="0" applyFont="1" applyFill="1" applyAlignment="1"/>
    <xf numFmtId="0" fontId="8" fillId="0" borderId="0" xfId="0" applyFont="1" applyFill="1" applyAlignment="1"/>
    <xf numFmtId="0" fontId="8" fillId="0" borderId="0" xfId="0" applyFont="1" applyFill="1"/>
    <xf numFmtId="0" fontId="2" fillId="0" borderId="0" xfId="0" applyFont="1" applyAlignment="1"/>
    <xf numFmtId="170" fontId="4" fillId="5" borderId="0" xfId="0" applyNumberFormat="1" applyFont="1" applyFill="1" applyAlignment="1"/>
    <xf numFmtId="0" fontId="5" fillId="0" borderId="0" xfId="0" applyFont="1" applyAlignment="1"/>
    <xf numFmtId="4" fontId="0" fillId="0" borderId="0" xfId="0" applyNumberFormat="1" applyFont="1" applyAlignment="1"/>
    <xf numFmtId="2" fontId="0" fillId="0" borderId="0" xfId="0" applyNumberFormat="1" applyFont="1" applyAlignment="1"/>
    <xf numFmtId="0" fontId="0" fillId="0" borderId="0" xfId="0"/>
    <xf numFmtId="3" fontId="0" fillId="0" borderId="0" xfId="0" applyNumberFormat="1"/>
    <xf numFmtId="3" fontId="0" fillId="5" borderId="0" xfId="0" applyNumberFormat="1" applyFill="1"/>
    <xf numFmtId="0" fontId="0" fillId="0" borderId="1" xfId="0" applyFont="1" applyBorder="1" applyAlignment="1"/>
    <xf numFmtId="0" fontId="19" fillId="0" borderId="0" xfId="0" applyFont="1" applyAlignment="1"/>
    <xf numFmtId="0" fontId="1" fillId="0" borderId="0" xfId="0" applyFont="1" applyAlignment="1"/>
    <xf numFmtId="0" fontId="16" fillId="0" borderId="0" xfId="95" applyAlignment="1"/>
    <xf numFmtId="3" fontId="0" fillId="0" borderId="0" xfId="0" applyNumberFormat="1" applyFont="1" applyAlignment="1"/>
    <xf numFmtId="10" fontId="0" fillId="0" borderId="0" xfId="0" applyNumberFormat="1" applyFont="1" applyAlignment="1"/>
    <xf numFmtId="0" fontId="21" fillId="5" borderId="0" xfId="0" applyFont="1" applyFill="1" applyAlignment="1"/>
    <xf numFmtId="0" fontId="13" fillId="0" borderId="0" xfId="0" applyFont="1" applyAlignment="1"/>
    <xf numFmtId="0" fontId="22" fillId="0" borderId="0" xfId="0" applyFont="1" applyAlignment="1"/>
    <xf numFmtId="3" fontId="13" fillId="0" borderId="0" xfId="0" applyNumberFormat="1" applyFont="1" applyAlignment="1"/>
    <xf numFmtId="0" fontId="0" fillId="0" borderId="0" xfId="0" applyFont="1" applyFill="1" applyAlignment="1"/>
    <xf numFmtId="6" fontId="0" fillId="0" borderId="0" xfId="0" applyNumberFormat="1" applyFont="1" applyAlignment="1"/>
    <xf numFmtId="173" fontId="0" fillId="0" borderId="0" xfId="0" applyNumberFormat="1" applyFont="1" applyAlignment="1"/>
    <xf numFmtId="8" fontId="1" fillId="5" borderId="0" xfId="0" applyNumberFormat="1" applyFont="1" applyFill="1" applyAlignment="1"/>
    <xf numFmtId="0" fontId="0" fillId="6" borderId="0" xfId="0" applyFont="1" applyFill="1" applyAlignment="1"/>
    <xf numFmtId="49" fontId="23" fillId="0" borderId="2" xfId="0" applyNumberFormat="1" applyFont="1" applyFill="1" applyBorder="1" applyAlignment="1"/>
    <xf numFmtId="0" fontId="0" fillId="0" borderId="2" xfId="0" applyFont="1" applyFill="1" applyBorder="1" applyAlignment="1"/>
    <xf numFmtId="49" fontId="0" fillId="0" borderId="2" xfId="0" applyNumberFormat="1" applyFont="1" applyFill="1" applyBorder="1" applyAlignment="1"/>
    <xf numFmtId="164" fontId="0" fillId="0" borderId="2" xfId="0" applyNumberFormat="1" applyFont="1" applyFill="1" applyBorder="1" applyAlignment="1"/>
    <xf numFmtId="0" fontId="0" fillId="0" borderId="0" xfId="0" applyNumberFormat="1" applyFont="1" applyFill="1" applyAlignment="1"/>
    <xf numFmtId="3" fontId="0" fillId="0" borderId="2" xfId="0" applyNumberFormat="1" applyFont="1" applyFill="1" applyBorder="1" applyAlignment="1"/>
    <xf numFmtId="0" fontId="0" fillId="0" borderId="2" xfId="0" applyNumberFormat="1" applyFont="1" applyFill="1" applyBorder="1" applyAlignment="1"/>
    <xf numFmtId="174" fontId="0" fillId="0" borderId="2" xfId="0" applyNumberFormat="1" applyFont="1" applyFill="1" applyBorder="1" applyAlignment="1"/>
    <xf numFmtId="0" fontId="0" fillId="6" borderId="2" xfId="0" applyFont="1" applyFill="1" applyBorder="1" applyAlignment="1"/>
    <xf numFmtId="0" fontId="0" fillId="0" borderId="2" xfId="0" applyFont="1" applyFill="1" applyBorder="1" applyAlignment="1">
      <alignment wrapText="1"/>
    </xf>
    <xf numFmtId="49" fontId="0" fillId="0" borderId="2" xfId="0" applyNumberFormat="1" applyFont="1" applyFill="1" applyBorder="1" applyAlignment="1">
      <alignment wrapText="1"/>
    </xf>
    <xf numFmtId="0" fontId="0" fillId="0" borderId="2" xfId="0" applyNumberFormat="1" applyFont="1" applyFill="1" applyBorder="1" applyAlignment="1">
      <alignment wrapText="1"/>
    </xf>
    <xf numFmtId="0" fontId="0" fillId="5" borderId="2" xfId="0" applyNumberFormat="1" applyFont="1" applyFill="1" applyBorder="1" applyAlignment="1">
      <alignment wrapText="1"/>
    </xf>
    <xf numFmtId="49" fontId="24" fillId="0" borderId="2" xfId="0" applyNumberFormat="1" applyFont="1" applyFill="1" applyBorder="1" applyAlignment="1"/>
    <xf numFmtId="0" fontId="0" fillId="5" borderId="2" xfId="0" applyNumberFormat="1" applyFont="1" applyFill="1" applyBorder="1" applyAlignment="1"/>
    <xf numFmtId="0" fontId="0" fillId="7" borderId="0" xfId="0" applyFont="1" applyFill="1" applyAlignment="1"/>
    <xf numFmtId="175" fontId="0" fillId="5" borderId="0" xfId="0" applyNumberFormat="1" applyFont="1" applyFill="1" applyAlignment="1"/>
    <xf numFmtId="3" fontId="0" fillId="0" borderId="1" xfId="0" applyNumberFormat="1" applyFont="1" applyFill="1" applyBorder="1"/>
    <xf numFmtId="0" fontId="20" fillId="0" borderId="1" xfId="0" applyFont="1" applyFill="1" applyBorder="1"/>
    <xf numFmtId="0" fontId="8" fillId="5" borderId="0" xfId="0" applyFont="1" applyFill="1" applyAlignment="1">
      <alignment wrapText="1"/>
    </xf>
    <xf numFmtId="171" fontId="2" fillId="0" borderId="0" xfId="0" applyNumberFormat="1" applyFont="1" applyFill="1"/>
    <xf numFmtId="0" fontId="2" fillId="0" borderId="0" xfId="0" applyFont="1" applyFill="1"/>
    <xf numFmtId="4" fontId="2" fillId="0" borderId="0" xfId="0" applyNumberFormat="1" applyFont="1" applyFill="1"/>
    <xf numFmtId="3" fontId="2" fillId="0" borderId="0" xfId="0" applyNumberFormat="1" applyFont="1" applyFill="1"/>
    <xf numFmtId="165" fontId="2" fillId="0" borderId="0" xfId="0" applyNumberFormat="1" applyFont="1" applyFill="1"/>
    <xf numFmtId="170" fontId="2" fillId="0" borderId="0" xfId="0" applyNumberFormat="1" applyFont="1" applyFill="1"/>
    <xf numFmtId="170" fontId="1" fillId="5" borderId="0" xfId="0" applyNumberFormat="1" applyFont="1" applyFill="1" applyAlignment="1"/>
    <xf numFmtId="0" fontId="1" fillId="5" borderId="0" xfId="0" applyFont="1" applyFill="1" applyAlignment="1"/>
    <xf numFmtId="0" fontId="18" fillId="5" borderId="0" xfId="0" applyFont="1" applyFill="1" applyAlignment="1">
      <alignment wrapText="1"/>
    </xf>
    <xf numFmtId="170" fontId="0" fillId="5" borderId="1" xfId="0" applyNumberFormat="1" applyFont="1" applyFill="1" applyBorder="1"/>
    <xf numFmtId="0" fontId="1" fillId="0" borderId="1" xfId="0" applyFont="1" applyFill="1" applyBorder="1"/>
    <xf numFmtId="0" fontId="2" fillId="0" borderId="0" xfId="0" applyFont="1" applyFill="1" applyAlignment="1"/>
    <xf numFmtId="168" fontId="2" fillId="0" borderId="0" xfId="0" applyNumberFormat="1" applyFont="1" applyFill="1"/>
    <xf numFmtId="0" fontId="25" fillId="0" borderId="0" xfId="0" applyFont="1" applyAlignment="1"/>
    <xf numFmtId="176" fontId="0" fillId="0" borderId="0" xfId="0" applyNumberFormat="1" applyFont="1" applyAlignment="1"/>
    <xf numFmtId="176" fontId="0" fillId="0" borderId="0" xfId="0" applyNumberFormat="1" applyFont="1" applyFill="1" applyAlignment="1"/>
    <xf numFmtId="177" fontId="2" fillId="0" borderId="0" xfId="0" applyNumberFormat="1" applyFont="1"/>
    <xf numFmtId="178" fontId="0" fillId="5" borderId="0" xfId="0" applyNumberFormat="1" applyFont="1" applyFill="1" applyAlignment="1"/>
    <xf numFmtId="179" fontId="0" fillId="0" borderId="0" xfId="0" applyNumberFormat="1" applyFont="1" applyAlignment="1"/>
    <xf numFmtId="4" fontId="2" fillId="0" borderId="0" xfId="0" applyNumberFormat="1" applyFont="1" applyFill="1" applyAlignment="1"/>
    <xf numFmtId="9" fontId="0" fillId="0" borderId="0" xfId="0" applyNumberFormat="1" applyFont="1" applyAlignment="1"/>
    <xf numFmtId="180" fontId="0" fillId="0" borderId="0" xfId="0" applyNumberFormat="1" applyFont="1" applyAlignment="1"/>
    <xf numFmtId="3" fontId="0" fillId="0" borderId="0" xfId="0" applyNumberFormat="1" applyFont="1" applyFill="1" applyAlignment="1"/>
    <xf numFmtId="170" fontId="12" fillId="0" borderId="1" xfId="0" applyNumberFormat="1" applyFont="1" applyFill="1" applyBorder="1"/>
    <xf numFmtId="0" fontId="0" fillId="0" borderId="1" xfId="0" applyFont="1" applyFill="1" applyBorder="1"/>
    <xf numFmtId="0" fontId="26" fillId="0" borderId="0" xfId="0" applyFont="1" applyAlignment="1"/>
    <xf numFmtId="0" fontId="27" fillId="0" borderId="0" xfId="0" applyFont="1" applyAlignment="1"/>
    <xf numFmtId="0" fontId="28" fillId="0" borderId="0" xfId="0" applyFont="1" applyAlignment="1"/>
    <xf numFmtId="0" fontId="29" fillId="0" borderId="0" xfId="0" applyFont="1" applyAlignment="1"/>
    <xf numFmtId="0" fontId="31" fillId="0" borderId="0" xfId="0" applyFont="1" applyAlignment="1"/>
    <xf numFmtId="3" fontId="31" fillId="0" borderId="0" xfId="0" applyNumberFormat="1" applyFont="1" applyAlignment="1"/>
    <xf numFmtId="3" fontId="0" fillId="8" borderId="0" xfId="0" applyNumberFormat="1" applyFont="1" applyFill="1" applyAlignment="1"/>
    <xf numFmtId="169" fontId="0" fillId="0" borderId="0" xfId="0" applyNumberFormat="1" applyFont="1" applyAlignment="1"/>
    <xf numFmtId="0" fontId="16" fillId="0" borderId="0" xfId="95"/>
    <xf numFmtId="0" fontId="32" fillId="0" borderId="0" xfId="0" applyFont="1"/>
    <xf numFmtId="3" fontId="2" fillId="0" borderId="0" xfId="0" applyNumberFormat="1" applyFont="1" applyFill="1" applyAlignment="1"/>
    <xf numFmtId="3" fontId="2" fillId="0" borderId="0" xfId="0" applyNumberFormat="1" applyFont="1" applyFill="1" applyAlignment="1">
      <alignment wrapText="1"/>
    </xf>
    <xf numFmtId="165" fontId="2" fillId="9" borderId="0" xfId="0" applyNumberFormat="1" applyFont="1" applyFill="1"/>
    <xf numFmtId="3" fontId="0" fillId="9" borderId="0" xfId="0" applyNumberFormat="1" applyFont="1" applyFill="1" applyAlignment="1"/>
    <xf numFmtId="9" fontId="0" fillId="9" borderId="0" xfId="0" applyNumberFormat="1" applyFont="1" applyFill="1" applyAlignment="1"/>
    <xf numFmtId="0" fontId="0" fillId="0" borderId="0" xfId="0" applyFont="1" applyAlignment="1">
      <alignment wrapText="1"/>
    </xf>
    <xf numFmtId="9" fontId="0" fillId="0" borderId="0" xfId="0" applyNumberFormat="1" applyFont="1" applyFill="1" applyAlignment="1"/>
    <xf numFmtId="0" fontId="0" fillId="0" borderId="0" xfId="0" applyAlignment="1">
      <alignment wrapText="1"/>
    </xf>
    <xf numFmtId="0" fontId="0" fillId="0" borderId="1" xfId="0" applyFont="1" applyBorder="1" applyAlignment="1">
      <alignment wrapText="1"/>
    </xf>
    <xf numFmtId="0" fontId="2" fillId="6" borderId="0" xfId="0" applyFont="1" applyFill="1"/>
    <xf numFmtId="176" fontId="0" fillId="6" borderId="0" xfId="0" applyNumberFormat="1" applyFont="1" applyFill="1" applyAlignment="1"/>
    <xf numFmtId="3" fontId="0" fillId="6" borderId="0" xfId="0" applyNumberFormat="1" applyFont="1" applyFill="1" applyAlignment="1"/>
    <xf numFmtId="168" fontId="0" fillId="0" borderId="0" xfId="0" applyNumberFormat="1" applyFont="1" applyAlignment="1"/>
    <xf numFmtId="171" fontId="0" fillId="0" borderId="0" xfId="0" applyNumberFormat="1" applyFont="1" applyAlignment="1"/>
    <xf numFmtId="165" fontId="0" fillId="0" borderId="0" xfId="0" applyNumberFormat="1" applyFont="1" applyFill="1" applyAlignment="1"/>
    <xf numFmtId="181" fontId="2" fillId="0" borderId="0" xfId="0" applyNumberFormat="1" applyFont="1"/>
    <xf numFmtId="4" fontId="0" fillId="0" borderId="0" xfId="0" applyNumberFormat="1"/>
    <xf numFmtId="0" fontId="2" fillId="0" borderId="1" xfId="0" applyFont="1" applyBorder="1" applyAlignment="1"/>
    <xf numFmtId="182" fontId="0" fillId="0" borderId="0" xfId="0" applyNumberFormat="1"/>
    <xf numFmtId="0" fontId="0" fillId="0" borderId="0" xfId="0" applyNumberFormat="1"/>
    <xf numFmtId="182" fontId="0" fillId="0" borderId="0" xfId="0" applyNumberFormat="1" applyFont="1" applyAlignment="1"/>
    <xf numFmtId="183" fontId="0" fillId="0" borderId="0" xfId="0" applyNumberFormat="1" applyFont="1" applyAlignment="1"/>
    <xf numFmtId="4" fontId="2" fillId="10" borderId="0" xfId="0" applyNumberFormat="1" applyFont="1" applyFill="1" applyAlignment="1"/>
    <xf numFmtId="4" fontId="13" fillId="6" borderId="0" xfId="0" applyNumberFormat="1" applyFont="1" applyFill="1" applyAlignment="1"/>
    <xf numFmtId="0" fontId="33" fillId="0" borderId="0" xfId="0" applyFont="1" applyAlignment="1">
      <alignment wrapText="1"/>
    </xf>
    <xf numFmtId="3" fontId="0" fillId="11" borderId="0" xfId="0" applyNumberFormat="1" applyFont="1" applyFill="1" applyAlignment="1"/>
    <xf numFmtId="0" fontId="33" fillId="0" borderId="0" xfId="0" applyFont="1" applyAlignment="1"/>
    <xf numFmtId="172" fontId="33" fillId="0" borderId="0" xfId="0" applyNumberFormat="1" applyFont="1" applyAlignment="1"/>
    <xf numFmtId="184" fontId="0" fillId="0" borderId="0" xfId="0" applyNumberFormat="1" applyFont="1" applyAlignment="1"/>
    <xf numFmtId="3" fontId="34" fillId="0" borderId="0" xfId="0" applyNumberFormat="1" applyFont="1" applyAlignment="1"/>
    <xf numFmtId="0" fontId="33" fillId="0" borderId="0" xfId="0" applyFont="1"/>
    <xf numFmtId="3" fontId="33" fillId="0" borderId="0" xfId="0" applyNumberFormat="1" applyFont="1" applyAlignment="1"/>
    <xf numFmtId="0" fontId="33" fillId="12" borderId="0" xfId="0" applyFont="1" applyFill="1" applyAlignment="1"/>
    <xf numFmtId="14" fontId="0" fillId="0" borderId="0" xfId="0" applyNumberFormat="1" applyFont="1" applyAlignment="1"/>
    <xf numFmtId="3" fontId="2" fillId="5" borderId="0" xfId="0" applyNumberFormat="1" applyFont="1" applyFill="1"/>
    <xf numFmtId="0" fontId="33" fillId="0" borderId="1" xfId="0" applyFont="1" applyBorder="1" applyAlignment="1"/>
    <xf numFmtId="0" fontId="33" fillId="0" borderId="1" xfId="0" applyFont="1" applyBorder="1" applyAlignment="1">
      <alignment wrapText="1"/>
    </xf>
    <xf numFmtId="4" fontId="33" fillId="0" borderId="1" xfId="0" applyNumberFormat="1" applyFont="1" applyBorder="1" applyAlignment="1"/>
    <xf numFmtId="3" fontId="33" fillId="0" borderId="1" xfId="0" applyNumberFormat="1" applyFont="1" applyBorder="1" applyAlignment="1"/>
    <xf numFmtId="3" fontId="35" fillId="0" borderId="0" xfId="0" applyNumberFormat="1" applyFont="1" applyFill="1" applyAlignment="1"/>
    <xf numFmtId="0" fontId="0" fillId="0" borderId="0" xfId="0" applyFill="1"/>
  </cellXfs>
  <cellStyles count="32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cellStyle name="Normal" xfId="0" builtinId="0"/>
  </cellStyles>
  <dxfs count="0"/>
  <tableStyles count="0" defaultTableStyle="TableStyleMedium9" defaultPivotStyle="PivotStyleMedium4"/>
  <colors>
    <mruColors>
      <color rgb="FF0BFF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www.wri.org/blog/2017/10/global-tree-cover-loss-rose-51-percent-2016" TargetMode="External"/><Relationship Id="rId1" Type="http://schemas.openxmlformats.org/officeDocument/2006/relationships/hyperlink" Target="https://www.reference.com/science/many-football-pitches-hectare-c79dcfb34def6acb" TargetMode="External"/><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www.ncbi.nlm.nih.gov/pmc/articles/PMC4951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13"/>
  <sheetViews>
    <sheetView tabSelected="1" topLeftCell="A21" zoomScale="150" zoomScaleNormal="150" zoomScalePageLayoutView="150" workbookViewId="0">
      <selection activeCell="H36" sqref="H36"/>
    </sheetView>
  </sheetViews>
  <sheetFormatPr baseColWidth="10" defaultColWidth="11.1640625" defaultRowHeight="15" customHeight="1" x14ac:dyDescent="0.2"/>
  <cols>
    <col min="1" max="1" width="23.1640625" customWidth="1"/>
    <col min="2" max="2" width="38.83203125" customWidth="1"/>
    <col min="3" max="3" width="18.83203125" customWidth="1"/>
    <col min="4" max="4" width="13.5" customWidth="1"/>
    <col min="5" max="6" width="15.33203125" customWidth="1"/>
    <col min="7" max="7" width="10.5" customWidth="1"/>
    <col min="8" max="8" width="19.6640625" customWidth="1"/>
    <col min="9" max="9" width="26.6640625" customWidth="1"/>
    <col min="10" max="10" width="17.6640625" customWidth="1"/>
    <col min="11" max="22" width="19.6640625" customWidth="1"/>
    <col min="23" max="23" width="11.33203125" customWidth="1"/>
    <col min="24" max="24" width="13.6640625" customWidth="1"/>
    <col min="25" max="28" width="13.1640625" customWidth="1"/>
    <col min="29" max="29" width="12.5" customWidth="1"/>
    <col min="30" max="35" width="10.5" customWidth="1"/>
    <col min="36" max="36" width="30.6640625" customWidth="1"/>
    <col min="37" max="37" width="15.1640625" customWidth="1"/>
    <col min="38" max="38" width="15.6640625" customWidth="1"/>
    <col min="39" max="39" width="10.5" customWidth="1"/>
    <col min="40" max="40" width="0.6640625" customWidth="1"/>
    <col min="41" max="41" width="10.5" customWidth="1"/>
    <col min="42" max="42" width="11.33203125" customWidth="1"/>
    <col min="43" max="43" width="15" customWidth="1"/>
    <col min="44" max="44" width="13" customWidth="1"/>
    <col min="45" max="46" width="10.5" customWidth="1"/>
  </cols>
  <sheetData>
    <row r="1" spans="1:47" ht="16" x14ac:dyDescent="0.2">
      <c r="A1" s="116" t="s">
        <v>10</v>
      </c>
      <c r="F1" t="s">
        <v>856</v>
      </c>
    </row>
    <row r="2" spans="1:47" ht="16" x14ac:dyDescent="0.2">
      <c r="A2" t="s">
        <v>16</v>
      </c>
      <c r="C2" t="s">
        <v>17</v>
      </c>
      <c r="E2" t="s">
        <v>856</v>
      </c>
      <c r="F2" t="s">
        <v>18</v>
      </c>
      <c r="H2" t="s">
        <v>961</v>
      </c>
      <c r="N2" t="s">
        <v>989</v>
      </c>
      <c r="O2" t="s">
        <v>987</v>
      </c>
      <c r="X2" t="s">
        <v>19</v>
      </c>
      <c r="AE2" t="s">
        <v>20</v>
      </c>
      <c r="AJ2" s="2" t="s">
        <v>21</v>
      </c>
      <c r="AK2" s="2"/>
      <c r="AL2" s="2"/>
    </row>
    <row r="3" spans="1:47" ht="16" x14ac:dyDescent="0.2">
      <c r="A3" t="s">
        <v>24</v>
      </c>
      <c r="B3" t="s">
        <v>897</v>
      </c>
      <c r="C3" t="s">
        <v>24</v>
      </c>
      <c r="F3" t="s">
        <v>25</v>
      </c>
      <c r="I3" t="s">
        <v>658</v>
      </c>
      <c r="O3" t="s">
        <v>988</v>
      </c>
      <c r="T3" t="s">
        <v>27</v>
      </c>
      <c r="W3" t="s">
        <v>28</v>
      </c>
      <c r="Y3" t="s">
        <v>29</v>
      </c>
      <c r="AA3" t="s">
        <v>30</v>
      </c>
      <c r="AE3">
        <v>191</v>
      </c>
    </row>
    <row r="4" spans="1:47" ht="16" x14ac:dyDescent="0.2">
      <c r="I4" t="s">
        <v>32</v>
      </c>
      <c r="K4" t="s">
        <v>33</v>
      </c>
      <c r="L4" s="153" t="s">
        <v>6</v>
      </c>
      <c r="N4" t="s">
        <v>34</v>
      </c>
      <c r="O4" t="s">
        <v>35</v>
      </c>
      <c r="P4" t="s">
        <v>36</v>
      </c>
      <c r="Q4" t="s">
        <v>37</v>
      </c>
      <c r="R4" t="s">
        <v>38</v>
      </c>
      <c r="T4" t="s">
        <v>622</v>
      </c>
      <c r="U4" t="s">
        <v>39</v>
      </c>
      <c r="V4" t="s">
        <v>40</v>
      </c>
      <c r="AC4" t="s">
        <v>41</v>
      </c>
      <c r="AL4" t="s">
        <v>42</v>
      </c>
      <c r="AM4" t="s">
        <v>43</v>
      </c>
      <c r="AT4" s="4" t="s">
        <v>44</v>
      </c>
      <c r="AU4" t="s">
        <v>479</v>
      </c>
    </row>
    <row r="5" spans="1:47" ht="16" x14ac:dyDescent="0.2">
      <c r="I5" t="s">
        <v>52</v>
      </c>
      <c r="M5" t="s">
        <v>53</v>
      </c>
      <c r="Q5" t="s">
        <v>624</v>
      </c>
      <c r="R5" t="s">
        <v>54</v>
      </c>
      <c r="S5" t="s">
        <v>55</v>
      </c>
      <c r="Z5" t="s">
        <v>56</v>
      </c>
      <c r="AB5" t="s">
        <v>57</v>
      </c>
      <c r="AL5" t="s">
        <v>17</v>
      </c>
      <c r="AM5" t="s">
        <v>17</v>
      </c>
      <c r="AO5" t="s">
        <v>58</v>
      </c>
      <c r="AP5" t="s">
        <v>59</v>
      </c>
      <c r="AQ5" t="s">
        <v>60</v>
      </c>
      <c r="AR5" t="s">
        <v>61</v>
      </c>
      <c r="AS5" t="s">
        <v>62</v>
      </c>
    </row>
    <row r="6" spans="1:47" ht="16" x14ac:dyDescent="0.2">
      <c r="A6" s="4" t="s">
        <v>63</v>
      </c>
      <c r="B6" s="4" t="s">
        <v>9</v>
      </c>
      <c r="C6" s="5">
        <f>'1 Longevity'!E19</f>
        <v>46.153846153846146</v>
      </c>
      <c r="D6" s="5"/>
      <c r="E6" s="7">
        <f>E44</f>
        <v>370000</v>
      </c>
      <c r="F6" s="7">
        <f>1440/C6</f>
        <v>31.200000000000006</v>
      </c>
      <c r="G6" s="7" t="s">
        <v>962</v>
      </c>
      <c r="H6" s="5">
        <f>E6*C6</f>
        <v>17076923.076923072</v>
      </c>
      <c r="I6" s="9">
        <f>H6/60</f>
        <v>284615.38461538457</v>
      </c>
      <c r="J6" s="9"/>
      <c r="K6" s="5">
        <f>H6/24/60</f>
        <v>11858.974358974356</v>
      </c>
      <c r="L6" s="9">
        <f>K6/365</f>
        <v>32.490340709518783</v>
      </c>
      <c r="M6" s="9"/>
      <c r="N6" s="9"/>
      <c r="O6" s="5">
        <f>K6/365</f>
        <v>32.490340709518783</v>
      </c>
      <c r="P6" s="7"/>
      <c r="Q6" s="7"/>
      <c r="R6" s="7"/>
      <c r="S6" s="7"/>
      <c r="T6" s="7"/>
      <c r="U6" s="7"/>
      <c r="V6" s="7"/>
      <c r="W6" s="7"/>
      <c r="X6" s="7"/>
      <c r="Y6" s="7"/>
      <c r="Z6" s="7"/>
      <c r="AA6" s="7"/>
      <c r="AB6" s="7"/>
      <c r="AC6" s="7"/>
      <c r="AD6" s="4" t="s">
        <v>67</v>
      </c>
      <c r="AE6" s="4"/>
      <c r="AF6" s="4"/>
      <c r="AG6" s="4"/>
      <c r="AH6" s="4"/>
      <c r="AI6" s="4"/>
      <c r="AJ6" s="4" t="s">
        <v>68</v>
      </c>
      <c r="AK6" s="4"/>
      <c r="AL6" s="7">
        <f>AO6/C35</f>
        <v>610.03185339572929</v>
      </c>
      <c r="AM6" s="7">
        <f>AO6/C19</f>
        <v>1454.3646506651658</v>
      </c>
      <c r="AN6" s="7"/>
      <c r="AO6" s="4">
        <v>7140</v>
      </c>
      <c r="AP6" s="4"/>
      <c r="AQ6" s="4"/>
      <c r="AR6" s="4">
        <f>AO6/10000</f>
        <v>0.71399999999999997</v>
      </c>
      <c r="AS6" s="4"/>
      <c r="AT6" s="4">
        <f>AO6/AO7</f>
        <v>36.498010756178459</v>
      </c>
    </row>
    <row r="7" spans="1:47" ht="16" x14ac:dyDescent="0.2">
      <c r="A7" s="4" t="s">
        <v>69</v>
      </c>
      <c r="B7" s="4" t="s">
        <v>65</v>
      </c>
      <c r="C7" s="5">
        <f>'2 Saving Money'!D18</f>
        <v>0.95634285714285727</v>
      </c>
      <c r="D7" s="5"/>
      <c r="E7" s="7">
        <f>E44</f>
        <v>370000</v>
      </c>
      <c r="F7" s="9">
        <f>10/C7</f>
        <v>10.456500956022943</v>
      </c>
      <c r="G7" s="7" t="s">
        <v>963</v>
      </c>
      <c r="H7" s="5">
        <f>E7*C7</f>
        <v>353846.85714285722</v>
      </c>
      <c r="I7" s="9"/>
      <c r="J7" s="9"/>
      <c r="K7" s="7"/>
      <c r="L7" s="7"/>
      <c r="M7" s="7"/>
      <c r="N7" s="7"/>
      <c r="O7" s="7"/>
      <c r="P7" s="7"/>
      <c r="Q7" s="7"/>
      <c r="R7" s="7"/>
      <c r="S7" s="7"/>
      <c r="T7" s="7"/>
      <c r="U7" s="7"/>
      <c r="V7" s="7"/>
      <c r="W7" s="7"/>
      <c r="X7" s="7"/>
      <c r="Y7" s="7"/>
      <c r="Z7" s="7"/>
      <c r="AA7" s="7"/>
      <c r="AB7" s="7"/>
      <c r="AC7" s="7"/>
      <c r="AD7" s="4" t="s">
        <v>70</v>
      </c>
      <c r="AE7" s="4"/>
      <c r="AF7" s="4"/>
      <c r="AG7" s="4"/>
      <c r="AH7" s="4"/>
      <c r="AI7" s="4"/>
      <c r="AJ7" s="4" t="s">
        <v>71</v>
      </c>
      <c r="AK7" s="4"/>
      <c r="AL7" s="7">
        <f>AO7/C35</f>
        <v>16.714112379192112</v>
      </c>
      <c r="AM7" s="7">
        <f>AO7/C19</f>
        <v>39.847778564725417</v>
      </c>
      <c r="AN7" s="7"/>
      <c r="AO7" s="4">
        <f>23.77*8.23</f>
        <v>195.62710000000001</v>
      </c>
      <c r="AP7" s="4"/>
      <c r="AQ7" s="4"/>
      <c r="AR7" s="4">
        <f>AO7/10000</f>
        <v>1.9562710000000001E-2</v>
      </c>
      <c r="AS7" s="4">
        <f>10000/AO7</f>
        <v>51.117662123499244</v>
      </c>
      <c r="AT7" s="4"/>
    </row>
    <row r="8" spans="1:47" ht="16" x14ac:dyDescent="0.2">
      <c r="A8" s="4"/>
      <c r="B8" s="4" t="s">
        <v>72</v>
      </c>
      <c r="C8" s="5">
        <v>1.29</v>
      </c>
      <c r="D8" s="5"/>
      <c r="E8" s="7"/>
      <c r="F8" s="7"/>
      <c r="G8" s="7"/>
      <c r="H8" s="5">
        <f>E44*C8</f>
        <v>477300</v>
      </c>
      <c r="I8" s="9"/>
      <c r="J8" s="9"/>
      <c r="K8" s="7"/>
      <c r="L8" s="7"/>
      <c r="M8" s="7"/>
      <c r="N8" s="7"/>
      <c r="O8" s="7"/>
      <c r="P8" s="7"/>
      <c r="Q8" s="7"/>
      <c r="R8" s="7"/>
      <c r="S8" s="7"/>
      <c r="T8" s="7"/>
      <c r="U8" s="7"/>
      <c r="V8" s="7"/>
      <c r="W8" s="7"/>
      <c r="X8" s="7"/>
      <c r="Y8" s="7"/>
      <c r="Z8" s="7"/>
      <c r="AA8" s="7"/>
      <c r="AB8" s="7"/>
      <c r="AC8" s="7"/>
      <c r="AD8" s="4"/>
      <c r="AE8" s="4"/>
      <c r="AF8" s="4"/>
      <c r="AG8" s="4"/>
      <c r="AH8" s="4"/>
      <c r="AI8" s="4"/>
      <c r="AJ8" s="4"/>
      <c r="AK8" s="4"/>
      <c r="AL8" s="7"/>
      <c r="AM8" s="7"/>
      <c r="AN8" s="7"/>
      <c r="AO8" s="4"/>
      <c r="AP8" s="4"/>
      <c r="AQ8" s="4"/>
      <c r="AR8" s="4"/>
      <c r="AS8" s="4"/>
      <c r="AT8" s="4"/>
    </row>
    <row r="9" spans="1:47" s="103" customFormat="1" ht="16" x14ac:dyDescent="0.2">
      <c r="A9" s="93"/>
      <c r="B9" s="93" t="s">
        <v>73</v>
      </c>
      <c r="C9" s="94">
        <f>'2 Saving Money'!D16</f>
        <v>0.74714285714285722</v>
      </c>
      <c r="D9" s="94" t="s">
        <v>535</v>
      </c>
      <c r="E9" s="95"/>
      <c r="F9" s="95"/>
      <c r="G9" s="95"/>
      <c r="H9" s="94">
        <f>C9*H7</f>
        <v>264374.15183673479</v>
      </c>
      <c r="I9" s="96"/>
      <c r="J9" s="96"/>
      <c r="K9" s="95"/>
      <c r="L9" s="95"/>
      <c r="M9" s="95"/>
      <c r="N9" s="95"/>
      <c r="O9" s="95"/>
      <c r="P9" s="95"/>
      <c r="Q9" s="95"/>
      <c r="R9" s="95"/>
      <c r="S9" s="95"/>
      <c r="T9" s="95"/>
      <c r="U9" s="95"/>
      <c r="V9" s="95"/>
      <c r="W9" s="95"/>
      <c r="X9" s="95"/>
      <c r="Y9" s="95"/>
      <c r="Z9" s="95"/>
      <c r="AA9" s="95"/>
      <c r="AB9" s="95"/>
      <c r="AC9" s="95"/>
      <c r="AD9" s="93"/>
      <c r="AE9" s="93"/>
      <c r="AF9" s="93"/>
      <c r="AG9" s="93"/>
      <c r="AH9" s="93"/>
      <c r="AI9" s="93"/>
      <c r="AJ9" s="93" t="s">
        <v>986</v>
      </c>
      <c r="AK9" s="93"/>
      <c r="AL9" s="95" t="s">
        <v>985</v>
      </c>
      <c r="AM9" s="95"/>
      <c r="AN9" s="95"/>
      <c r="AO9" s="93"/>
      <c r="AP9" s="93">
        <v>75</v>
      </c>
      <c r="AQ9" s="93"/>
      <c r="AR9" s="93"/>
      <c r="AS9" s="93"/>
      <c r="AT9" s="93"/>
    </row>
    <row r="10" spans="1:47" ht="16" x14ac:dyDescent="0.2">
      <c r="A10" s="4" t="s">
        <v>74</v>
      </c>
      <c r="B10" s="4" t="s">
        <v>75</v>
      </c>
      <c r="C10" s="10">
        <f>'3 Malnutrition'!D51</f>
        <v>3.6771876225623987E-2</v>
      </c>
      <c r="D10" s="10"/>
      <c r="E10" s="7">
        <f>E44</f>
        <v>370000</v>
      </c>
      <c r="F10" s="9">
        <f>1/C10</f>
        <v>27.194696127666269</v>
      </c>
      <c r="G10" s="7" t="s">
        <v>964</v>
      </c>
      <c r="H10" s="5">
        <f t="shared" ref="H10:H17" si="0">E10*C10</f>
        <v>13605.594203480876</v>
      </c>
      <c r="I10" s="9"/>
      <c r="J10" s="9"/>
      <c r="K10" s="7"/>
      <c r="L10" s="7"/>
      <c r="M10" s="7"/>
      <c r="N10" s="7"/>
      <c r="O10" s="7"/>
      <c r="P10" s="7"/>
      <c r="Q10" s="7"/>
      <c r="R10" s="7"/>
      <c r="S10" s="7"/>
      <c r="T10" s="7"/>
      <c r="U10" s="7"/>
      <c r="V10" s="7"/>
      <c r="W10" s="7"/>
      <c r="X10" s="7"/>
      <c r="Y10" s="7"/>
      <c r="Z10" s="7"/>
      <c r="AA10" s="7"/>
      <c r="AB10" s="7"/>
      <c r="AC10" s="7"/>
      <c r="AD10" s="4" t="s">
        <v>76</v>
      </c>
      <c r="AE10" s="4"/>
      <c r="AF10" s="4"/>
      <c r="AG10" s="4"/>
      <c r="AH10" s="4"/>
      <c r="AI10" s="4"/>
      <c r="AJ10" s="4" t="s">
        <v>77</v>
      </c>
      <c r="AK10" s="4"/>
      <c r="AL10" s="7"/>
      <c r="AM10" s="7"/>
      <c r="AN10" s="7"/>
      <c r="AO10" s="4">
        <f>50*25</f>
        <v>1250</v>
      </c>
      <c r="AP10" s="7">
        <v>2500000</v>
      </c>
      <c r="AQ10" s="4"/>
      <c r="AR10" s="4"/>
      <c r="AS10" s="4"/>
      <c r="AT10" s="4"/>
    </row>
    <row r="11" spans="1:47" ht="16" x14ac:dyDescent="0.2">
      <c r="A11" s="4" t="s">
        <v>1155</v>
      </c>
      <c r="B11" s="4"/>
      <c r="C11" s="10"/>
      <c r="D11" s="10"/>
      <c r="E11" s="7"/>
      <c r="F11" s="9"/>
      <c r="G11" s="7"/>
      <c r="H11" s="5">
        <f>H10*3/800</f>
        <v>51.020978263053287</v>
      </c>
      <c r="I11" s="9"/>
      <c r="J11" s="9"/>
      <c r="K11" s="7"/>
      <c r="L11" s="7"/>
      <c r="M11" s="7"/>
      <c r="N11" s="7"/>
      <c r="O11" s="7"/>
      <c r="P11" s="7"/>
      <c r="Q11" s="7"/>
      <c r="R11" s="7"/>
      <c r="S11" s="7"/>
      <c r="T11" s="7"/>
      <c r="U11" s="7"/>
      <c r="V11" s="7"/>
      <c r="W11" s="7"/>
      <c r="X11" s="7"/>
      <c r="Y11" s="7"/>
      <c r="Z11" s="7"/>
      <c r="AA11" s="7"/>
      <c r="AB11" s="7"/>
      <c r="AC11" s="7"/>
      <c r="AD11" s="4"/>
      <c r="AE11" s="4"/>
      <c r="AF11" s="4"/>
      <c r="AG11" s="4"/>
      <c r="AH11" s="4"/>
      <c r="AI11" s="4"/>
      <c r="AJ11" s="4"/>
      <c r="AK11" s="4"/>
      <c r="AL11" s="7"/>
      <c r="AM11" s="7"/>
      <c r="AN11" s="7"/>
      <c r="AO11" s="4"/>
      <c r="AP11" s="7"/>
      <c r="AQ11" s="4"/>
      <c r="AR11" s="4"/>
      <c r="AS11" s="4"/>
      <c r="AT11" s="4"/>
    </row>
    <row r="12" spans="1:47" ht="16" x14ac:dyDescent="0.2">
      <c r="A12" s="4" t="s">
        <v>957</v>
      </c>
      <c r="B12" s="4" t="s">
        <v>79</v>
      </c>
      <c r="C12" s="11">
        <f>'4 Cows'!B12</f>
        <v>1.3105854149143048E-4</v>
      </c>
      <c r="D12" s="11">
        <f>C12*8000</f>
        <v>1.0484683319314438</v>
      </c>
      <c r="E12" s="7">
        <f>E44</f>
        <v>370000</v>
      </c>
      <c r="F12" s="9">
        <f>1/C12</f>
        <v>7630.1779999999999</v>
      </c>
      <c r="G12" s="7" t="s">
        <v>965</v>
      </c>
      <c r="H12" s="13">
        <f t="shared" si="0"/>
        <v>48.491660351829275</v>
      </c>
      <c r="I12" s="9"/>
      <c r="J12" s="9"/>
      <c r="K12" s="7"/>
      <c r="L12" s="7"/>
      <c r="M12" s="7"/>
      <c r="N12" s="7"/>
      <c r="O12" s="7"/>
      <c r="P12" s="7"/>
      <c r="Q12" s="7"/>
      <c r="R12" s="7"/>
      <c r="S12" s="7"/>
      <c r="T12" s="7"/>
      <c r="U12" s="7"/>
      <c r="V12" s="7"/>
      <c r="W12" s="7"/>
      <c r="X12" s="7"/>
      <c r="Y12" s="7"/>
      <c r="Z12" s="7"/>
      <c r="AA12" s="7"/>
      <c r="AB12" s="7"/>
      <c r="AC12" s="7"/>
      <c r="AD12" s="4" t="s">
        <v>87</v>
      </c>
      <c r="AE12" s="4"/>
      <c r="AF12" s="4"/>
      <c r="AG12" s="4"/>
      <c r="AH12" s="4"/>
      <c r="AI12" s="4"/>
      <c r="AJ12" s="4" t="s">
        <v>88</v>
      </c>
      <c r="AK12" s="4"/>
      <c r="AL12" s="7"/>
      <c r="AM12" s="7"/>
      <c r="AN12" s="7"/>
      <c r="AO12" s="4"/>
      <c r="AP12" s="4"/>
      <c r="AQ12" s="7">
        <v>2830</v>
      </c>
      <c r="AR12" s="4"/>
      <c r="AS12" s="4"/>
      <c r="AT12" s="4"/>
    </row>
    <row r="13" spans="1:47" ht="16" x14ac:dyDescent="0.2">
      <c r="A13" s="4" t="s">
        <v>642</v>
      </c>
      <c r="B13" s="4"/>
      <c r="C13" s="11">
        <f>'4.5 Pigs'!C4</f>
        <v>9.1869545245751023E-4</v>
      </c>
      <c r="D13" s="11"/>
      <c r="E13" s="7">
        <f>E44</f>
        <v>370000</v>
      </c>
      <c r="F13" s="9">
        <f>1/C13</f>
        <v>1088.5000000000002</v>
      </c>
      <c r="G13" s="7" t="s">
        <v>966</v>
      </c>
      <c r="H13" s="5">
        <f>C13*E13</f>
        <v>339.91731740927878</v>
      </c>
      <c r="I13" s="9"/>
      <c r="J13" s="9"/>
      <c r="K13" s="7"/>
      <c r="L13" s="7"/>
      <c r="M13" s="7"/>
      <c r="N13" s="7"/>
      <c r="O13" s="7"/>
      <c r="P13" s="7"/>
      <c r="Q13" s="7"/>
      <c r="R13" s="7"/>
      <c r="S13" s="7"/>
      <c r="T13" s="7"/>
      <c r="U13" s="7"/>
      <c r="V13" s="7"/>
      <c r="W13" s="7"/>
      <c r="X13" s="7"/>
      <c r="Y13" s="7"/>
      <c r="Z13" s="7"/>
      <c r="AA13" s="7"/>
      <c r="AB13" s="7"/>
      <c r="AC13" s="7"/>
      <c r="AD13" s="4"/>
      <c r="AE13" s="4"/>
      <c r="AF13" s="4"/>
      <c r="AG13" s="4"/>
      <c r="AH13" s="4"/>
      <c r="AI13" s="4"/>
      <c r="AJ13" s="4"/>
      <c r="AK13" s="4"/>
      <c r="AL13" s="7"/>
      <c r="AM13" s="7"/>
      <c r="AN13" s="7"/>
      <c r="AO13" s="4"/>
      <c r="AP13" s="4"/>
      <c r="AQ13" s="7"/>
      <c r="AR13" s="4"/>
      <c r="AS13" s="4"/>
      <c r="AT13" s="4"/>
    </row>
    <row r="14" spans="1:47" ht="16" x14ac:dyDescent="0.2">
      <c r="A14" s="4" t="s">
        <v>89</v>
      </c>
      <c r="B14" s="4" t="s">
        <v>90</v>
      </c>
      <c r="C14" s="13">
        <f>'5 Chickens'!C12</f>
        <v>6.3667232597623094E-2</v>
      </c>
      <c r="D14" s="13">
        <f>C14*17</f>
        <v>1.0823429541595926</v>
      </c>
      <c r="E14" s="7">
        <f>E44</f>
        <v>370000</v>
      </c>
      <c r="F14" s="9">
        <f>1/C14</f>
        <v>15.706666666666665</v>
      </c>
      <c r="G14" s="7" t="s">
        <v>967</v>
      </c>
      <c r="H14" s="9">
        <f>E14*C14</f>
        <v>23556.876061120543</v>
      </c>
      <c r="I14" s="9"/>
      <c r="J14" s="9"/>
      <c r="K14" s="7"/>
      <c r="L14" s="7"/>
      <c r="M14" s="7"/>
      <c r="N14" s="7"/>
      <c r="O14" s="7"/>
      <c r="P14" s="7"/>
      <c r="Q14" s="7"/>
      <c r="R14" s="7"/>
      <c r="S14" s="7"/>
      <c r="T14" s="7"/>
      <c r="U14" s="7"/>
      <c r="V14" s="7"/>
      <c r="W14" s="7"/>
      <c r="X14" s="7"/>
      <c r="Y14" s="7"/>
      <c r="Z14" s="7"/>
      <c r="AA14" s="7"/>
      <c r="AB14" s="7"/>
      <c r="AC14" s="7"/>
      <c r="AD14" s="4" t="s">
        <v>99</v>
      </c>
      <c r="AE14" s="4"/>
      <c r="AF14" s="4"/>
      <c r="AG14" s="4"/>
      <c r="AH14" s="4"/>
      <c r="AI14" s="4"/>
      <c r="AJ14" s="4" t="s">
        <v>100</v>
      </c>
      <c r="AK14" s="4"/>
      <c r="AL14" s="7"/>
      <c r="AM14" s="7"/>
      <c r="AN14" s="7"/>
      <c r="AO14" s="4"/>
      <c r="AP14" s="4"/>
      <c r="AQ14" s="7">
        <v>1865</v>
      </c>
      <c r="AR14" s="4"/>
      <c r="AS14" s="4"/>
      <c r="AT14" s="4"/>
    </row>
    <row r="15" spans="1:47" ht="16" x14ac:dyDescent="0.2">
      <c r="A15" s="4" t="s">
        <v>123</v>
      </c>
      <c r="B15" s="4" t="s">
        <v>889</v>
      </c>
      <c r="C15" s="13">
        <f>'4.7 Lamb'!C4</f>
        <v>1.4230769230769231E-4</v>
      </c>
      <c r="D15" s="13"/>
      <c r="E15" s="7">
        <f>E44</f>
        <v>370000</v>
      </c>
      <c r="F15" s="9">
        <f>1/C15</f>
        <v>7027.0270270270266</v>
      </c>
      <c r="G15" s="7" t="s">
        <v>968</v>
      </c>
      <c r="H15" s="9">
        <f>C15*E15</f>
        <v>52.653846153846153</v>
      </c>
      <c r="I15" s="9"/>
      <c r="J15" s="9"/>
      <c r="K15" s="7"/>
      <c r="L15" s="7"/>
      <c r="M15" s="7"/>
      <c r="N15" s="7"/>
      <c r="O15" s="7"/>
      <c r="P15" s="7"/>
      <c r="Q15" s="7"/>
      <c r="R15" s="7"/>
      <c r="S15" s="7"/>
      <c r="T15" s="7"/>
      <c r="U15" s="7"/>
      <c r="V15" s="7"/>
      <c r="W15" s="7"/>
      <c r="X15" s="7"/>
      <c r="Y15" s="7"/>
      <c r="Z15" s="7"/>
      <c r="AA15" s="7"/>
      <c r="AB15" s="7"/>
      <c r="AC15" s="7"/>
      <c r="AD15" s="4"/>
      <c r="AE15" s="4"/>
      <c r="AF15" s="4"/>
      <c r="AG15" s="4"/>
      <c r="AH15" s="4"/>
      <c r="AI15" s="4"/>
      <c r="AJ15" s="4"/>
      <c r="AK15" s="4"/>
      <c r="AL15" s="7"/>
      <c r="AM15" s="7"/>
      <c r="AN15" s="7"/>
      <c r="AO15" s="4"/>
      <c r="AP15" s="4"/>
      <c r="AQ15" s="7"/>
      <c r="AR15" s="4"/>
      <c r="AS15" s="4"/>
      <c r="AT15" s="4"/>
    </row>
    <row r="16" spans="1:47" ht="16" x14ac:dyDescent="0.2">
      <c r="A16" s="4" t="s">
        <v>956</v>
      </c>
      <c r="B16" s="4"/>
      <c r="C16" s="13">
        <f>C12+C13+C14+C15</f>
        <v>6.4859294283879723E-2</v>
      </c>
      <c r="D16" s="13"/>
      <c r="E16" s="7"/>
      <c r="F16" s="9"/>
      <c r="G16" s="7"/>
      <c r="H16" s="9">
        <f>H12+H13+H14+H15</f>
        <v>23997.938885035499</v>
      </c>
      <c r="I16" s="9"/>
      <c r="J16" s="9"/>
      <c r="K16" s="7"/>
      <c r="L16" s="7"/>
      <c r="M16" s="7"/>
      <c r="N16" s="7"/>
      <c r="O16" s="7"/>
      <c r="P16" s="7"/>
      <c r="Q16" s="7"/>
      <c r="R16" s="7"/>
      <c r="S16" s="7"/>
      <c r="T16" s="7"/>
      <c r="U16" s="7"/>
      <c r="V16" s="7"/>
      <c r="W16" s="7"/>
      <c r="X16" s="7"/>
      <c r="Y16" s="7"/>
      <c r="Z16" s="7"/>
      <c r="AA16" s="7"/>
      <c r="AB16" s="7"/>
      <c r="AC16" s="7"/>
      <c r="AD16" s="4"/>
      <c r="AE16" s="4"/>
      <c r="AF16" s="4"/>
      <c r="AG16" s="4"/>
      <c r="AH16" s="4"/>
      <c r="AI16" s="4"/>
      <c r="AJ16" s="4"/>
      <c r="AK16" s="4"/>
      <c r="AL16" s="7"/>
      <c r="AM16" s="7"/>
      <c r="AN16" s="7"/>
      <c r="AO16" s="4"/>
      <c r="AP16" s="4"/>
      <c r="AQ16" s="7"/>
      <c r="AR16" s="4"/>
      <c r="AS16" s="4"/>
      <c r="AT16" s="4"/>
    </row>
    <row r="17" spans="1:47" ht="16" x14ac:dyDescent="0.2">
      <c r="A17" s="4" t="s">
        <v>26</v>
      </c>
      <c r="B17" s="4" t="s">
        <v>101</v>
      </c>
      <c r="C17" s="5">
        <f>'6  Fish'!B35</f>
        <v>1.0436012940615162</v>
      </c>
      <c r="D17" s="5"/>
      <c r="E17" s="7">
        <f>E44</f>
        <v>370000</v>
      </c>
      <c r="F17" s="9">
        <f>100/C17</f>
        <v>95.822035262928097</v>
      </c>
      <c r="G17" s="7" t="s">
        <v>969</v>
      </c>
      <c r="H17" s="9">
        <f t="shared" si="0"/>
        <v>386132.478802761</v>
      </c>
      <c r="I17" s="9"/>
      <c r="J17" s="9"/>
      <c r="K17" s="7"/>
      <c r="L17" s="7"/>
      <c r="M17" s="7"/>
      <c r="N17" s="7"/>
      <c r="O17" s="7"/>
      <c r="P17" s="7"/>
      <c r="Q17" s="108">
        <f>H17/'6  Fish'!E8</f>
        <v>1.7563451389709392E-7</v>
      </c>
      <c r="R17" s="7"/>
      <c r="S17" s="7"/>
      <c r="T17" s="7"/>
      <c r="U17" s="7"/>
      <c r="V17" s="7"/>
      <c r="W17" s="7"/>
      <c r="X17" s="7"/>
      <c r="Y17" s="7"/>
      <c r="Z17" s="7"/>
      <c r="AA17" s="7"/>
      <c r="AB17" s="7"/>
      <c r="AC17" s="7"/>
      <c r="AD17" s="4" t="s">
        <v>102</v>
      </c>
      <c r="AE17" s="4"/>
      <c r="AF17" s="4"/>
      <c r="AG17" s="4"/>
      <c r="AH17" s="4"/>
      <c r="AI17" s="4"/>
      <c r="AJ17" s="4" t="s">
        <v>103</v>
      </c>
      <c r="AK17" s="4"/>
      <c r="AL17" s="7"/>
      <c r="AM17" s="7"/>
      <c r="AN17" s="7"/>
      <c r="AO17" s="4"/>
      <c r="AP17" s="4"/>
      <c r="AQ17" s="7">
        <v>1046</v>
      </c>
      <c r="AR17" s="4"/>
      <c r="AS17" s="4"/>
      <c r="AT17" s="4"/>
    </row>
    <row r="18" spans="1:47" ht="16" x14ac:dyDescent="0.2">
      <c r="A18" s="4" t="s">
        <v>26</v>
      </c>
      <c r="B18" s="4" t="s">
        <v>229</v>
      </c>
      <c r="C18" s="5">
        <f>OECD!C10*'6  Fish'!C40</f>
        <v>0.11799999999999999</v>
      </c>
      <c r="D18" s="5"/>
      <c r="E18" s="7">
        <f>E44</f>
        <v>370000</v>
      </c>
      <c r="F18" s="9"/>
      <c r="G18" s="7"/>
      <c r="H18" s="9">
        <f>E18*C18</f>
        <v>43660</v>
      </c>
      <c r="I18" s="9"/>
      <c r="J18" s="9"/>
      <c r="K18" s="7"/>
      <c r="L18" s="7"/>
      <c r="M18" s="7"/>
      <c r="N18" s="7"/>
      <c r="O18" s="7"/>
      <c r="P18" s="7"/>
      <c r="Q18" s="108"/>
      <c r="R18" s="7"/>
      <c r="S18" s="7"/>
      <c r="T18" s="7"/>
      <c r="U18" s="7"/>
      <c r="V18" s="7"/>
      <c r="W18" s="7"/>
      <c r="X18" s="7"/>
      <c r="Y18" s="7"/>
      <c r="Z18" s="7"/>
      <c r="AA18" s="7"/>
      <c r="AB18" s="7"/>
      <c r="AC18" s="7"/>
      <c r="AD18" s="4"/>
      <c r="AE18" s="4"/>
      <c r="AF18" s="4"/>
      <c r="AG18" s="4"/>
      <c r="AH18" s="4"/>
      <c r="AI18" s="4"/>
      <c r="AJ18" s="4"/>
      <c r="AK18" s="4"/>
      <c r="AL18" s="7"/>
      <c r="AM18" s="7"/>
      <c r="AN18" s="7"/>
      <c r="AO18" s="4"/>
      <c r="AP18" s="4"/>
      <c r="AQ18" s="7"/>
      <c r="AR18" s="4"/>
      <c r="AS18" s="4"/>
      <c r="AT18" s="4"/>
    </row>
    <row r="19" spans="1:47" s="67" customFormat="1" ht="16" x14ac:dyDescent="0.2">
      <c r="A19" s="93" t="s">
        <v>43</v>
      </c>
      <c r="B19" s="93" t="s">
        <v>58</v>
      </c>
      <c r="C19" s="104">
        <f>'7 Forest'!L53</f>
        <v>4.9093602465753428</v>
      </c>
      <c r="D19" s="94"/>
      <c r="E19" s="161">
        <f>E45</f>
        <v>5000</v>
      </c>
      <c r="F19" s="96">
        <f>AO7/C19</f>
        <v>39.847778564725417</v>
      </c>
      <c r="G19" s="95" t="s">
        <v>971</v>
      </c>
      <c r="H19" s="94">
        <f>E19*C19</f>
        <v>24546.801232876714</v>
      </c>
      <c r="I19" s="129" t="s">
        <v>654</v>
      </c>
      <c r="J19" s="96">
        <f>434251/K19</f>
        <v>176907.36804369715</v>
      </c>
      <c r="K19" s="96">
        <f>H19/10000</f>
        <v>2.4546801232876714</v>
      </c>
      <c r="L19" s="96"/>
      <c r="M19" s="96">
        <f>K19/100</f>
        <v>2.4546801232876714E-2</v>
      </c>
      <c r="N19" s="96">
        <f>K19*2.47</f>
        <v>6.0630599045205491</v>
      </c>
      <c r="O19" s="95"/>
      <c r="P19" s="94">
        <f>H19/AO7</f>
        <v>125.47750916348866</v>
      </c>
      <c r="Q19" s="96"/>
      <c r="R19" s="95"/>
      <c r="S19" s="95"/>
      <c r="T19" s="95"/>
      <c r="U19" s="94">
        <f>H19/AO6</f>
        <v>3.4379273435401561</v>
      </c>
      <c r="V19" s="95"/>
      <c r="W19" s="94">
        <f>(K19/100)/AQ46</f>
        <v>1.0410009004612687E-5</v>
      </c>
      <c r="X19" s="94">
        <f>(K19/100)/AQ45</f>
        <v>1.0329884497631483E-7</v>
      </c>
      <c r="Y19" s="95"/>
      <c r="Z19" s="95"/>
      <c r="AA19" s="95"/>
      <c r="AB19" s="95"/>
      <c r="AC19" s="95"/>
      <c r="AD19" s="93" t="s">
        <v>110</v>
      </c>
      <c r="AE19" s="93"/>
      <c r="AF19" s="93"/>
      <c r="AG19" s="93"/>
      <c r="AH19" s="93"/>
      <c r="AI19" s="93"/>
      <c r="AJ19" s="93" t="s">
        <v>111</v>
      </c>
      <c r="AK19" s="93"/>
      <c r="AL19" s="95"/>
      <c r="AM19" s="95"/>
      <c r="AN19" s="95"/>
      <c r="AO19" s="93"/>
      <c r="AP19" s="93"/>
      <c r="AQ19" s="95">
        <v>984</v>
      </c>
      <c r="AR19" s="93"/>
      <c r="AS19" s="93"/>
      <c r="AT19" s="93"/>
    </row>
    <row r="20" spans="1:47" s="67" customFormat="1" ht="16" x14ac:dyDescent="0.2">
      <c r="A20" s="93" t="s">
        <v>113</v>
      </c>
      <c r="B20" s="93" t="s">
        <v>1098</v>
      </c>
      <c r="C20" s="94">
        <f>'8 Greenhouse'!G23</f>
        <v>6.2372331460674157</v>
      </c>
      <c r="D20" s="94"/>
      <c r="E20" s="95">
        <f>E44</f>
        <v>370000</v>
      </c>
      <c r="F20" s="95"/>
      <c r="G20" s="95"/>
      <c r="H20" s="94">
        <f>E20*C20</f>
        <v>2307776.2640449437</v>
      </c>
      <c r="I20" s="96"/>
      <c r="J20" s="96"/>
      <c r="K20" s="95"/>
      <c r="L20" s="95"/>
      <c r="M20" s="95"/>
      <c r="N20" s="95"/>
      <c r="O20" s="95"/>
      <c r="P20" s="95"/>
      <c r="Q20" s="95"/>
      <c r="R20" s="95"/>
      <c r="S20" s="95"/>
      <c r="T20" s="96">
        <f>H20/AQ33</f>
        <v>57.586432041046628</v>
      </c>
      <c r="U20" s="96"/>
      <c r="V20" s="96"/>
      <c r="W20" s="96"/>
      <c r="X20" s="96"/>
      <c r="Y20" s="94">
        <f>H20/AQ34</f>
        <v>6.0035490555328632</v>
      </c>
      <c r="Z20" s="96">
        <f>H20/AQ33</f>
        <v>57.586432041046628</v>
      </c>
      <c r="AA20" s="97">
        <f>H20/AQ22</f>
        <v>6.0730954316972202E-2</v>
      </c>
      <c r="AB20" s="97">
        <f>H20/AQ26</f>
        <v>4.2266964542947684E-2</v>
      </c>
      <c r="AC20" s="92">
        <f>H20/AQ32</f>
        <v>1.5426311925434116E-2</v>
      </c>
      <c r="AD20" s="93" t="s">
        <v>125</v>
      </c>
      <c r="AE20" s="93"/>
      <c r="AF20" s="93"/>
      <c r="AG20" s="93"/>
      <c r="AH20" s="93"/>
      <c r="AI20" s="93"/>
      <c r="AJ20" s="93" t="s">
        <v>126</v>
      </c>
      <c r="AK20" s="93"/>
      <c r="AL20" s="95"/>
      <c r="AM20" s="95"/>
      <c r="AN20" s="95"/>
      <c r="AO20" s="93"/>
      <c r="AP20" s="93"/>
      <c r="AQ20" s="95">
        <v>476</v>
      </c>
      <c r="AR20" s="93"/>
      <c r="AS20" s="93"/>
      <c r="AT20" s="93"/>
    </row>
    <row r="21" spans="1:47" s="67" customFormat="1" ht="16" x14ac:dyDescent="0.2">
      <c r="A21" s="93"/>
      <c r="B21" s="93" t="s">
        <v>1099</v>
      </c>
      <c r="C21" s="94">
        <f>'8 Greenhouse'!G24</f>
        <v>1374.687694719546</v>
      </c>
      <c r="D21" s="94"/>
      <c r="E21" s="161">
        <f>E45</f>
        <v>5000</v>
      </c>
      <c r="F21" s="95"/>
      <c r="G21" s="95"/>
      <c r="H21" s="94">
        <f>E21*C21</f>
        <v>6873438.4735977305</v>
      </c>
      <c r="I21" s="96"/>
      <c r="J21" s="96"/>
      <c r="K21" s="95"/>
      <c r="L21" s="95"/>
      <c r="M21" s="95"/>
      <c r="N21" s="95"/>
      <c r="O21" s="95"/>
      <c r="P21" s="95"/>
      <c r="Q21" s="95"/>
      <c r="R21" s="95"/>
      <c r="S21" s="95"/>
      <c r="T21" s="96"/>
      <c r="U21" s="96"/>
      <c r="V21" s="96"/>
      <c r="W21" s="96"/>
      <c r="X21" s="96"/>
      <c r="Y21" s="94"/>
      <c r="Z21" s="96"/>
      <c r="AA21" s="97"/>
      <c r="AB21" s="97"/>
      <c r="AC21" s="92"/>
      <c r="AD21" s="93"/>
      <c r="AE21" s="93"/>
      <c r="AF21" s="93"/>
      <c r="AG21" s="93"/>
      <c r="AH21" s="93"/>
      <c r="AI21" s="93"/>
      <c r="AJ21" s="93"/>
      <c r="AK21" s="93"/>
      <c r="AL21" s="95"/>
      <c r="AM21" s="95"/>
      <c r="AN21" s="95"/>
      <c r="AO21" s="93"/>
      <c r="AP21" s="93"/>
      <c r="AQ21" s="95"/>
      <c r="AR21" s="93"/>
      <c r="AS21" s="93"/>
      <c r="AT21" s="93"/>
    </row>
    <row r="22" spans="1:47" s="67" customFormat="1" ht="16" x14ac:dyDescent="0.2">
      <c r="A22" s="93"/>
      <c r="B22" s="93" t="s">
        <v>896</v>
      </c>
      <c r="C22" s="67">
        <f>'8 Greenhouse'!I21</f>
        <v>1.6325393333333338</v>
      </c>
      <c r="D22" s="94"/>
      <c r="E22" s="95">
        <f>E44</f>
        <v>370000</v>
      </c>
      <c r="F22" s="95"/>
      <c r="G22" s="95"/>
      <c r="H22" s="111">
        <f>C22*E22</f>
        <v>604039.55333333346</v>
      </c>
      <c r="I22" s="96"/>
      <c r="J22" s="96"/>
      <c r="K22" s="95"/>
      <c r="L22" s="95"/>
      <c r="M22" s="95"/>
      <c r="N22" s="95"/>
      <c r="O22" s="95"/>
      <c r="P22" s="95"/>
      <c r="Q22" s="95"/>
      <c r="R22" s="95"/>
      <c r="S22" s="95"/>
      <c r="T22" s="96"/>
      <c r="U22" s="96"/>
      <c r="V22" s="96"/>
      <c r="W22" s="96"/>
      <c r="X22" s="96"/>
      <c r="Y22" s="94"/>
      <c r="Z22" s="96"/>
      <c r="AA22" s="96"/>
      <c r="AB22" s="96"/>
      <c r="AC22" s="92"/>
      <c r="AD22" s="93"/>
      <c r="AE22" s="93"/>
      <c r="AF22" s="93"/>
      <c r="AG22" s="93"/>
      <c r="AH22" s="93"/>
      <c r="AI22" s="93"/>
      <c r="AJ22" s="93" t="s">
        <v>139</v>
      </c>
      <c r="AK22" s="93"/>
      <c r="AL22" s="95"/>
      <c r="AM22" s="95"/>
      <c r="AN22" s="95"/>
      <c r="AO22" s="93"/>
      <c r="AP22" s="93"/>
      <c r="AQ22" s="95">
        <v>38000000</v>
      </c>
      <c r="AR22" s="93"/>
      <c r="AS22" s="93"/>
      <c r="AT22" s="93"/>
    </row>
    <row r="23" spans="1:47" s="67" customFormat="1" ht="16" x14ac:dyDescent="0.2">
      <c r="A23" s="93"/>
      <c r="B23" s="93" t="s">
        <v>895</v>
      </c>
      <c r="C23" s="67">
        <f>'8 Greenhouse'!H74</f>
        <v>321.78990859407673</v>
      </c>
      <c r="D23" s="94"/>
      <c r="E23" s="161">
        <f>E45</f>
        <v>5000</v>
      </c>
      <c r="F23" s="95"/>
      <c r="G23" s="95"/>
      <c r="H23" s="111">
        <f>C23*E23</f>
        <v>1608949.5429703838</v>
      </c>
      <c r="I23" s="129" t="s">
        <v>654</v>
      </c>
      <c r="J23" s="96"/>
      <c r="K23" s="95"/>
      <c r="L23" s="95"/>
      <c r="M23" s="95"/>
      <c r="N23" s="95"/>
      <c r="O23" s="95"/>
      <c r="P23" s="95"/>
      <c r="Q23" s="95"/>
      <c r="R23" s="95"/>
      <c r="S23" s="95"/>
      <c r="T23" s="96"/>
      <c r="U23" s="96"/>
      <c r="V23" s="96"/>
      <c r="W23" s="96"/>
      <c r="X23" s="96"/>
      <c r="Y23" s="94"/>
      <c r="Z23" s="96"/>
      <c r="AA23" s="96"/>
      <c r="AB23" s="96"/>
      <c r="AC23" s="92"/>
      <c r="AD23" s="93"/>
      <c r="AE23" s="93"/>
      <c r="AF23" s="93"/>
      <c r="AG23" s="93"/>
      <c r="AH23" s="93"/>
      <c r="AI23" s="93"/>
      <c r="AJ23" s="93"/>
      <c r="AK23" s="93"/>
      <c r="AL23" s="95"/>
      <c r="AM23" s="95"/>
      <c r="AN23" s="95"/>
      <c r="AO23" s="93"/>
      <c r="AP23" s="93"/>
      <c r="AQ23" s="95"/>
      <c r="AR23" s="93"/>
      <c r="AS23" s="93"/>
      <c r="AT23" s="93"/>
    </row>
    <row r="24" spans="1:47" s="67" customFormat="1" ht="34" x14ac:dyDescent="0.2">
      <c r="A24" s="93"/>
      <c r="B24" s="93" t="s">
        <v>640</v>
      </c>
      <c r="C24" s="67">
        <f>C22+C23</f>
        <v>323.42244792741008</v>
      </c>
      <c r="D24" s="94"/>
      <c r="E24" s="95">
        <f>E44</f>
        <v>370000</v>
      </c>
      <c r="F24" s="95"/>
      <c r="G24" s="95"/>
      <c r="H24" s="111">
        <f>E24*C24</f>
        <v>119666305.73314174</v>
      </c>
      <c r="I24" s="96">
        <f>25000/(H24/1000)</f>
        <v>0.20891427914345834</v>
      </c>
      <c r="J24" s="96"/>
      <c r="K24" s="95"/>
      <c r="L24" s="95"/>
      <c r="M24" s="95"/>
      <c r="N24" s="95"/>
      <c r="O24" s="95"/>
      <c r="P24" s="95"/>
      <c r="Q24" s="95"/>
      <c r="R24" s="95"/>
      <c r="S24" s="95"/>
      <c r="T24" s="96"/>
      <c r="U24" s="96"/>
      <c r="V24" s="96"/>
      <c r="W24" s="96"/>
      <c r="X24" s="96"/>
      <c r="Y24" s="94"/>
      <c r="Z24" s="96"/>
      <c r="AA24" s="96"/>
      <c r="AB24" s="96"/>
      <c r="AC24" s="92"/>
      <c r="AD24" s="93"/>
      <c r="AE24" s="93"/>
      <c r="AF24" s="93"/>
      <c r="AG24" s="93"/>
      <c r="AH24" s="93"/>
      <c r="AI24" s="93"/>
      <c r="AJ24" s="93"/>
      <c r="AK24" s="93" t="s">
        <v>909</v>
      </c>
      <c r="AL24" s="95" t="s">
        <v>58</v>
      </c>
      <c r="AM24" s="128" t="s">
        <v>910</v>
      </c>
      <c r="AN24" s="95"/>
      <c r="AO24" s="93" t="s">
        <v>911</v>
      </c>
      <c r="AP24" s="93" t="s">
        <v>912</v>
      </c>
      <c r="AQ24" s="95"/>
      <c r="AR24" s="93"/>
      <c r="AS24" s="93"/>
      <c r="AT24" s="93"/>
    </row>
    <row r="25" spans="1:47" s="67" customFormat="1" ht="16" x14ac:dyDescent="0.2">
      <c r="A25" s="93"/>
      <c r="B25" s="93" t="s">
        <v>907</v>
      </c>
      <c r="D25" s="94"/>
      <c r="E25" s="95"/>
      <c r="F25" s="95"/>
      <c r="G25" s="95"/>
      <c r="H25" s="127">
        <f>H24/1000</f>
        <v>119666.30573314174</v>
      </c>
      <c r="I25" s="96"/>
      <c r="J25" s="96">
        <f>434251/H25</f>
        <v>3.6288493852930368</v>
      </c>
      <c r="K25" s="95"/>
      <c r="L25" s="95"/>
      <c r="M25" s="95"/>
      <c r="N25" s="95"/>
      <c r="O25" s="95"/>
      <c r="P25" s="95"/>
      <c r="Q25" s="95"/>
      <c r="R25" s="95"/>
      <c r="S25" s="95"/>
      <c r="T25" s="96"/>
      <c r="U25" s="96"/>
      <c r="V25" s="96"/>
      <c r="W25" s="96"/>
      <c r="X25" s="96"/>
      <c r="Y25" s="94"/>
      <c r="Z25" s="96"/>
      <c r="AA25" s="96"/>
      <c r="AB25" s="96"/>
      <c r="AC25" s="92"/>
      <c r="AD25" s="93"/>
      <c r="AE25" s="93"/>
      <c r="AF25" s="93"/>
      <c r="AG25" s="93"/>
      <c r="AH25" s="93"/>
      <c r="AI25" s="93"/>
      <c r="AJ25" s="93" t="s">
        <v>908</v>
      </c>
      <c r="AK25" s="95">
        <v>500000</v>
      </c>
      <c r="AL25" s="95">
        <f>AK25*10000</f>
        <v>5000000000</v>
      </c>
      <c r="AM25" s="95">
        <f>AL25/AO7</f>
        <v>25558831.061749622</v>
      </c>
      <c r="AN25" s="95"/>
      <c r="AO25" s="93">
        <f>AM25/365/24</f>
        <v>2917.6747787385411</v>
      </c>
      <c r="AP25" s="93">
        <f>AO25/60/60</f>
        <v>0.81046521631626145</v>
      </c>
      <c r="AQ25" s="95"/>
      <c r="AR25" s="93"/>
      <c r="AS25" s="93"/>
      <c r="AT25" s="93"/>
    </row>
    <row r="26" spans="1:47" s="67" customFormat="1" ht="16" x14ac:dyDescent="0.2">
      <c r="A26" s="93"/>
      <c r="B26" s="93" t="s">
        <v>955</v>
      </c>
      <c r="C26" s="114">
        <f>AQ29</f>
        <v>15530</v>
      </c>
      <c r="D26" s="94"/>
      <c r="E26" s="95">
        <f>E44</f>
        <v>370000</v>
      </c>
      <c r="F26" s="94">
        <f>C26/(C20+C21)</f>
        <v>11.246085639140061</v>
      </c>
      <c r="G26" s="95" t="s">
        <v>970</v>
      </c>
      <c r="H26" s="141">
        <f>(H20+H21)/C26</f>
        <v>591.1921917348792</v>
      </c>
      <c r="I26" s="96"/>
      <c r="J26" s="96"/>
      <c r="K26" s="95"/>
      <c r="L26" s="95"/>
      <c r="M26" s="95"/>
      <c r="N26" s="95"/>
      <c r="O26" s="95"/>
      <c r="P26" s="95"/>
      <c r="Q26" s="95"/>
      <c r="R26" s="95"/>
      <c r="S26" s="95"/>
      <c r="T26" s="96"/>
      <c r="U26" s="96"/>
      <c r="V26" s="96"/>
      <c r="W26" s="96"/>
      <c r="X26" s="96"/>
      <c r="Y26" s="94"/>
      <c r="Z26" s="96"/>
      <c r="AA26" s="96"/>
      <c r="AB26" s="96"/>
      <c r="AC26" s="92"/>
      <c r="AD26" s="93"/>
      <c r="AE26" s="93"/>
      <c r="AF26" s="93"/>
      <c r="AG26" s="93"/>
      <c r="AH26" s="93"/>
      <c r="AI26" s="93"/>
      <c r="AJ26" s="93" t="s">
        <v>140</v>
      </c>
      <c r="AK26" s="93"/>
      <c r="AL26" s="95"/>
      <c r="AM26" s="95"/>
      <c r="AN26" s="95"/>
      <c r="AO26" s="93"/>
      <c r="AP26" s="93"/>
      <c r="AQ26" s="95">
        <v>54600000</v>
      </c>
      <c r="AR26" s="93"/>
      <c r="AS26" s="93"/>
      <c r="AT26" s="93"/>
    </row>
    <row r="27" spans="1:47" s="67" customFormat="1" ht="16" x14ac:dyDescent="0.2">
      <c r="A27" s="93"/>
      <c r="B27" s="93" t="s">
        <v>477</v>
      </c>
      <c r="D27" s="94"/>
      <c r="E27" s="95">
        <f>E44</f>
        <v>370000</v>
      </c>
      <c r="F27" s="95"/>
      <c r="G27" s="95"/>
      <c r="I27" s="96"/>
      <c r="J27" s="96"/>
      <c r="K27" s="95"/>
      <c r="L27" s="95"/>
      <c r="M27" s="95"/>
      <c r="N27" s="95"/>
      <c r="O27" s="95"/>
      <c r="P27" s="95"/>
      <c r="Q27" s="95"/>
      <c r="R27" s="95"/>
      <c r="S27" s="95"/>
      <c r="T27" s="96"/>
      <c r="U27" s="96"/>
      <c r="V27" s="96"/>
      <c r="W27" s="96"/>
      <c r="X27" s="96"/>
      <c r="Y27" s="94"/>
      <c r="Z27" s="96"/>
      <c r="AA27" s="96"/>
      <c r="AB27" s="96"/>
      <c r="AC27" s="92"/>
      <c r="AD27" s="93"/>
      <c r="AE27" s="93"/>
      <c r="AF27" s="93"/>
      <c r="AG27" s="93"/>
      <c r="AH27" s="93"/>
      <c r="AI27" s="93"/>
      <c r="AJ27" s="93" t="s">
        <v>478</v>
      </c>
      <c r="AK27" s="93"/>
      <c r="AL27" s="95"/>
      <c r="AM27" s="95"/>
      <c r="AN27" s="95"/>
      <c r="AO27" s="93"/>
      <c r="AP27" s="93"/>
      <c r="AQ27" s="95">
        <v>878</v>
      </c>
      <c r="AR27" s="93"/>
      <c r="AS27" s="93"/>
      <c r="AT27" s="93"/>
      <c r="AU27" s="67">
        <f>H20/AQ27</f>
        <v>2628.4467699828515</v>
      </c>
    </row>
    <row r="28" spans="1:47" s="67" customFormat="1" ht="16" x14ac:dyDescent="0.2">
      <c r="A28" s="93"/>
      <c r="B28" s="93" t="s">
        <v>141</v>
      </c>
      <c r="D28" s="94"/>
      <c r="E28" s="95">
        <f>E44</f>
        <v>370000</v>
      </c>
      <c r="F28" s="95"/>
      <c r="G28" s="95"/>
      <c r="I28" s="96"/>
      <c r="J28" s="96"/>
      <c r="K28" s="95"/>
      <c r="L28" s="95"/>
      <c r="M28" s="95"/>
      <c r="N28" s="95"/>
      <c r="O28" s="95"/>
      <c r="P28" s="95"/>
      <c r="Q28" s="95"/>
      <c r="R28" s="95"/>
      <c r="S28" s="95"/>
      <c r="T28" s="96"/>
      <c r="U28" s="96"/>
      <c r="V28" s="96"/>
      <c r="W28" s="96"/>
      <c r="X28" s="96"/>
      <c r="Y28" s="94"/>
      <c r="Z28" s="96"/>
      <c r="AA28" s="96"/>
      <c r="AB28" s="96"/>
      <c r="AC28" s="92"/>
      <c r="AD28" s="93"/>
      <c r="AE28" s="93"/>
      <c r="AF28" s="93"/>
      <c r="AG28" s="93"/>
      <c r="AH28" s="93"/>
      <c r="AI28" s="93"/>
      <c r="AJ28" s="93" t="s">
        <v>142</v>
      </c>
      <c r="AK28" s="93"/>
      <c r="AL28" s="95"/>
      <c r="AM28" s="95"/>
      <c r="AN28" s="95"/>
      <c r="AO28" s="93"/>
      <c r="AP28" s="93"/>
      <c r="AQ28" s="95">
        <f>7900*1.6</f>
        <v>12640</v>
      </c>
      <c r="AR28" s="93" t="s">
        <v>143</v>
      </c>
      <c r="AS28" s="93"/>
      <c r="AT28" s="93"/>
    </row>
    <row r="29" spans="1:47" s="67" customFormat="1" ht="16" x14ac:dyDescent="0.2">
      <c r="A29" s="93"/>
      <c r="B29" s="93" t="s">
        <v>144</v>
      </c>
      <c r="D29" s="94"/>
      <c r="E29" s="95">
        <f>E44</f>
        <v>370000</v>
      </c>
      <c r="F29" s="95"/>
      <c r="G29" s="95"/>
      <c r="I29" s="96"/>
      <c r="J29" s="96"/>
      <c r="K29" s="95"/>
      <c r="L29" s="95"/>
      <c r="M29" s="95"/>
      <c r="N29" s="95"/>
      <c r="O29" s="95"/>
      <c r="P29" s="95"/>
      <c r="Q29" s="95"/>
      <c r="R29" s="95"/>
      <c r="S29" s="95"/>
      <c r="T29" s="96"/>
      <c r="U29" s="96"/>
      <c r="V29" s="96"/>
      <c r="W29" s="96"/>
      <c r="X29" s="96"/>
      <c r="Y29" s="94"/>
      <c r="Z29" s="96"/>
      <c r="AA29" s="96"/>
      <c r="AB29" s="96"/>
      <c r="AC29" s="92"/>
      <c r="AD29" s="93"/>
      <c r="AE29" s="93"/>
      <c r="AF29" s="93"/>
      <c r="AG29" s="93"/>
      <c r="AH29" s="93"/>
      <c r="AI29" s="93"/>
      <c r="AJ29" s="93" t="s">
        <v>148</v>
      </c>
      <c r="AK29" s="93"/>
      <c r="AL29" s="95" t="s">
        <v>973</v>
      </c>
      <c r="AM29" s="95"/>
      <c r="AN29" s="95"/>
      <c r="AO29" s="93"/>
      <c r="AP29" s="93"/>
      <c r="AQ29" s="95">
        <v>15530</v>
      </c>
      <c r="AR29" s="93" t="s">
        <v>149</v>
      </c>
      <c r="AS29" s="93"/>
      <c r="AT29" s="93"/>
    </row>
    <row r="30" spans="1:47" s="67" customFormat="1" ht="16" x14ac:dyDescent="0.2">
      <c r="A30" s="93"/>
      <c r="B30" s="93" t="s">
        <v>150</v>
      </c>
      <c r="C30" s="67">
        <f>'8 Greenhouse'!C102</f>
        <v>2.4845762671544542</v>
      </c>
      <c r="D30" s="94"/>
      <c r="E30" s="95">
        <f>E44</f>
        <v>370000</v>
      </c>
      <c r="F30" s="95"/>
      <c r="G30" s="95"/>
      <c r="H30" s="114">
        <f>C30*E30</f>
        <v>919293.21884714812</v>
      </c>
      <c r="I30" s="96"/>
      <c r="J30" s="96"/>
      <c r="K30" s="95"/>
      <c r="L30" s="95"/>
      <c r="M30" s="95"/>
      <c r="N30" s="95"/>
      <c r="O30" s="95"/>
      <c r="P30" s="95"/>
      <c r="Q30" s="95"/>
      <c r="R30" s="95"/>
      <c r="S30" s="95"/>
      <c r="T30" s="96"/>
      <c r="U30" s="96"/>
      <c r="V30" s="96"/>
      <c r="W30" s="96"/>
      <c r="X30" s="96"/>
      <c r="Y30" s="94"/>
      <c r="Z30" s="96"/>
      <c r="AA30" s="96"/>
      <c r="AB30" s="96"/>
      <c r="AC30" s="92"/>
      <c r="AD30" s="93"/>
      <c r="AE30" s="93"/>
      <c r="AF30" s="93"/>
      <c r="AG30" s="93"/>
      <c r="AH30" s="93"/>
      <c r="AI30" s="93"/>
      <c r="AJ30" s="93" t="s">
        <v>974</v>
      </c>
      <c r="AK30" s="93">
        <v>0.19900000000000001</v>
      </c>
      <c r="AL30" s="95">
        <f>AK30*AQ29</f>
        <v>3090.4700000000003</v>
      </c>
      <c r="AM30" s="95"/>
      <c r="AN30" s="95"/>
      <c r="AO30" s="93"/>
      <c r="AP30" s="93"/>
      <c r="AQ30" s="95"/>
      <c r="AR30" s="93"/>
      <c r="AS30" s="93"/>
      <c r="AT30" s="93"/>
    </row>
    <row r="31" spans="1:47" s="67" customFormat="1" ht="16" x14ac:dyDescent="0.2">
      <c r="A31" s="93"/>
      <c r="B31" s="93" t="s">
        <v>906</v>
      </c>
      <c r="D31" s="94"/>
      <c r="E31" s="95"/>
      <c r="F31" s="95"/>
      <c r="G31" s="95"/>
      <c r="H31" s="67">
        <f>390072/(H24/1000)</f>
        <v>3.2596644277618831</v>
      </c>
      <c r="I31" s="96"/>
      <c r="J31" s="96"/>
      <c r="K31" s="95"/>
      <c r="L31" s="95"/>
      <c r="M31" s="95"/>
      <c r="N31" s="95"/>
      <c r="O31" s="95"/>
      <c r="P31" s="95"/>
      <c r="Q31" s="95"/>
      <c r="R31" s="95"/>
      <c r="S31" s="95"/>
      <c r="T31" s="96"/>
      <c r="U31" s="96"/>
      <c r="V31" s="96"/>
      <c r="W31" s="96"/>
      <c r="X31" s="96"/>
      <c r="Y31" s="94"/>
      <c r="Z31" s="96"/>
      <c r="AA31" s="96"/>
      <c r="AB31" s="96"/>
      <c r="AC31" s="92"/>
      <c r="AD31" s="93"/>
      <c r="AE31" s="93"/>
      <c r="AF31" s="93"/>
      <c r="AG31" s="93"/>
      <c r="AH31" s="93"/>
      <c r="AI31" s="93"/>
      <c r="AJ31" s="93"/>
      <c r="AK31" s="93"/>
      <c r="AL31" s="95"/>
      <c r="AM31" s="95"/>
      <c r="AN31" s="95"/>
      <c r="AO31" s="93"/>
      <c r="AP31" s="93"/>
      <c r="AQ31" s="95"/>
      <c r="AR31" s="93"/>
      <c r="AS31" s="93"/>
      <c r="AT31" s="93"/>
    </row>
    <row r="32" spans="1:47" ht="15.75" customHeight="1" x14ac:dyDescent="0.2">
      <c r="A32" s="4" t="s">
        <v>160</v>
      </c>
      <c r="B32" s="4" t="s">
        <v>161</v>
      </c>
      <c r="C32" s="5">
        <f>'9 water'!I20</f>
        <v>143.39431666666664</v>
      </c>
      <c r="D32" s="5"/>
      <c r="E32" s="7">
        <f>E44</f>
        <v>370000</v>
      </c>
      <c r="F32" s="7"/>
      <c r="G32" s="7"/>
      <c r="H32" s="5">
        <f t="shared" ref="H32:H36" si="1">E32*C32</f>
        <v>53055897.166666657</v>
      </c>
      <c r="I32" s="9"/>
      <c r="J32" s="9"/>
      <c r="K32" s="7"/>
      <c r="L32" s="7"/>
      <c r="M32" s="7"/>
      <c r="N32" s="7"/>
      <c r="O32" s="7"/>
      <c r="P32" s="7"/>
      <c r="Q32" s="7"/>
      <c r="R32" s="7"/>
      <c r="S32" s="7"/>
      <c r="T32" s="7"/>
      <c r="U32" s="7"/>
      <c r="V32" s="7"/>
      <c r="W32" s="7"/>
      <c r="X32" s="7"/>
      <c r="Y32" s="7"/>
      <c r="Z32" s="7"/>
      <c r="AA32" s="7"/>
      <c r="AB32" s="7"/>
      <c r="AC32" s="7"/>
      <c r="AD32" s="4" t="s">
        <v>162</v>
      </c>
      <c r="AE32" s="4"/>
      <c r="AF32" s="4"/>
      <c r="AG32" s="4"/>
      <c r="AH32" s="4"/>
      <c r="AI32" s="4"/>
      <c r="AJ32" s="4" t="s">
        <v>41</v>
      </c>
      <c r="AK32" s="4"/>
      <c r="AL32" s="7"/>
      <c r="AM32" s="7"/>
      <c r="AN32" s="7"/>
      <c r="AO32" s="4"/>
      <c r="AP32" s="4"/>
      <c r="AQ32" s="7">
        <f>149.6*1000000</f>
        <v>149600000</v>
      </c>
      <c r="AR32" s="4"/>
      <c r="AS32" s="4"/>
      <c r="AT32" s="4"/>
    </row>
    <row r="33" spans="1:46" ht="15.75" customHeight="1" x14ac:dyDescent="0.2">
      <c r="A33" s="4"/>
      <c r="B33" s="19" t="s">
        <v>59</v>
      </c>
      <c r="C33" s="5">
        <f>'9 water'!G20</f>
        <v>860.36589999999978</v>
      </c>
      <c r="D33" s="5"/>
      <c r="E33" s="7">
        <f>E44</f>
        <v>370000</v>
      </c>
      <c r="F33" s="19">
        <f>100*100/C33</f>
        <v>11.622961811945363</v>
      </c>
      <c r="G33" s="7" t="s">
        <v>972</v>
      </c>
      <c r="H33" s="5">
        <f t="shared" si="1"/>
        <v>318335382.99999994</v>
      </c>
      <c r="I33" s="9"/>
      <c r="J33" s="9">
        <f>434251/(H33/1000000)</f>
        <v>1364.1304837294826</v>
      </c>
      <c r="K33" s="7"/>
      <c r="L33" s="7"/>
      <c r="M33" s="7"/>
      <c r="N33" s="7">
        <f>O33/365</f>
        <v>11628.689789954336</v>
      </c>
      <c r="O33" s="7">
        <f>H33/AP9</f>
        <v>4244471.7733333325</v>
      </c>
      <c r="P33" s="4"/>
      <c r="Q33" s="4">
        <f>H33/100</f>
        <v>3183353.8299999996</v>
      </c>
      <c r="R33" s="5">
        <f>H33/AP10</f>
        <v>127.33415319999997</v>
      </c>
      <c r="S33" s="9">
        <f>H33/AK51</f>
        <v>6.3667076599999985E-4</v>
      </c>
      <c r="T33" s="108">
        <f>AK52/H33</f>
        <v>12552.798756900991</v>
      </c>
      <c r="U33" s="7"/>
      <c r="V33" s="7"/>
      <c r="W33" s="7"/>
      <c r="X33" s="7"/>
      <c r="Y33" s="7"/>
      <c r="Z33" s="7"/>
      <c r="AA33" s="7"/>
      <c r="AB33" s="7"/>
      <c r="AC33" s="7"/>
      <c r="AD33" s="4" t="s">
        <v>172</v>
      </c>
      <c r="AE33" s="4"/>
      <c r="AF33" s="4"/>
      <c r="AG33" s="4"/>
      <c r="AH33" s="4"/>
      <c r="AI33" s="4"/>
      <c r="AJ33" s="4" t="s">
        <v>172</v>
      </c>
      <c r="AK33" s="4"/>
      <c r="AL33" s="7"/>
      <c r="AM33" s="7"/>
      <c r="AN33" s="7"/>
      <c r="AO33" s="4"/>
      <c r="AP33" s="4"/>
      <c r="AQ33" s="7">
        <v>40075</v>
      </c>
      <c r="AR33" s="4"/>
      <c r="AS33" s="4"/>
      <c r="AT33" s="4"/>
    </row>
    <row r="34" spans="1:46" ht="15.75" customHeight="1" x14ac:dyDescent="0.2">
      <c r="A34" s="4" t="s">
        <v>173</v>
      </c>
      <c r="B34" s="4" t="s">
        <v>59</v>
      </c>
      <c r="C34" s="5">
        <f>'9 water'!G15</f>
        <v>1306.1799999999998</v>
      </c>
      <c r="D34" s="5"/>
      <c r="E34" s="7">
        <f>E44</f>
        <v>370000</v>
      </c>
      <c r="F34" s="7"/>
      <c r="G34" s="7"/>
      <c r="H34" s="5">
        <f t="shared" si="1"/>
        <v>483286599.99999994</v>
      </c>
      <c r="I34" s="9"/>
      <c r="J34" s="9"/>
      <c r="K34" s="7"/>
      <c r="L34" s="7"/>
      <c r="M34" s="7"/>
      <c r="N34" s="7"/>
      <c r="O34" s="7"/>
      <c r="P34" s="7"/>
      <c r="Q34" s="7"/>
      <c r="R34" s="7"/>
      <c r="S34" s="7"/>
      <c r="T34" s="7"/>
      <c r="U34" s="7"/>
      <c r="V34" s="7"/>
      <c r="W34" s="7"/>
      <c r="X34" s="7"/>
      <c r="Y34" s="7"/>
      <c r="Z34" s="7"/>
      <c r="AA34" s="7"/>
      <c r="AB34" s="7"/>
      <c r="AC34" s="7"/>
      <c r="AD34" s="4" t="s">
        <v>174</v>
      </c>
      <c r="AE34" s="4"/>
      <c r="AF34" s="4"/>
      <c r="AG34" s="4"/>
      <c r="AH34" s="4"/>
      <c r="AI34" s="4"/>
      <c r="AJ34" s="4" t="s">
        <v>29</v>
      </c>
      <c r="AK34" s="4"/>
      <c r="AL34" s="7"/>
      <c r="AM34" s="7"/>
      <c r="AN34" s="7"/>
      <c r="AO34" s="4"/>
      <c r="AP34" s="4"/>
      <c r="AQ34" s="7">
        <v>384402</v>
      </c>
      <c r="AR34" s="4"/>
      <c r="AS34" s="4"/>
      <c r="AT34" s="4"/>
    </row>
    <row r="35" spans="1:46" ht="15.75" customHeight="1" x14ac:dyDescent="0.2">
      <c r="A35" s="93" t="s">
        <v>175</v>
      </c>
      <c r="B35" s="93" t="s">
        <v>58</v>
      </c>
      <c r="C35" s="94">
        <f>'10 Marine reserve'!G10</f>
        <v>11.704306849315069</v>
      </c>
      <c r="D35" s="94"/>
      <c r="E35" s="161">
        <f>E45</f>
        <v>5000</v>
      </c>
      <c r="F35" s="95">
        <f>AO6/C35</f>
        <v>610.03185339572929</v>
      </c>
      <c r="G35" s="95" t="s">
        <v>68</v>
      </c>
      <c r="H35" s="94">
        <f t="shared" si="1"/>
        <v>58521.534246575342</v>
      </c>
      <c r="I35" s="129" t="s">
        <v>657</v>
      </c>
      <c r="J35" s="96"/>
      <c r="K35" s="7">
        <f>H35/10000</f>
        <v>5.8521534246575344</v>
      </c>
      <c r="L35" s="7"/>
      <c r="M35" s="96">
        <f>K35/100</f>
        <v>5.8521534246575344E-2</v>
      </c>
      <c r="N35" s="7">
        <f>K35*2.47</f>
        <v>14.454818958904111</v>
      </c>
      <c r="O35" s="7"/>
      <c r="P35" s="9">
        <f>H35/AO7</f>
        <v>299.14840145652283</v>
      </c>
      <c r="Q35" s="7"/>
      <c r="R35" s="5">
        <f>H35/AO10</f>
        <v>46.817227397260275</v>
      </c>
      <c r="S35" s="5"/>
      <c r="T35" s="7"/>
      <c r="U35" s="9">
        <f>H35/AO6</f>
        <v>8.1962933118452863</v>
      </c>
      <c r="V35" s="7"/>
      <c r="W35" s="7"/>
      <c r="X35" s="7"/>
      <c r="Y35" s="7"/>
      <c r="Z35" s="7"/>
      <c r="AA35" s="7"/>
      <c r="AB35" s="7"/>
      <c r="AC35" s="7"/>
      <c r="AD35" s="4" t="s">
        <v>176</v>
      </c>
      <c r="AE35" s="4"/>
      <c r="AF35" s="4"/>
      <c r="AG35" s="4"/>
      <c r="AH35" s="4"/>
      <c r="AI35" s="4"/>
      <c r="AJ35" s="4" t="s">
        <v>177</v>
      </c>
      <c r="AK35" s="4"/>
      <c r="AL35" s="7">
        <f>(AR35*10000)/C35</f>
        <v>290491.3587598711</v>
      </c>
      <c r="AM35" s="7">
        <f>(AR35*10000)/C19</f>
        <v>692554.59555484075</v>
      </c>
      <c r="AN35" s="7"/>
      <c r="AO35" s="4"/>
      <c r="AP35" s="4"/>
      <c r="AQ35" s="4"/>
      <c r="AR35" s="4">
        <v>340</v>
      </c>
      <c r="AS35" s="4"/>
      <c r="AT35" s="7">
        <f>AR35*1000000/AO7</f>
        <v>1738000.5121989744</v>
      </c>
    </row>
    <row r="36" spans="1:46" ht="15.75" customHeight="1" x14ac:dyDescent="0.2">
      <c r="A36" s="4" t="s">
        <v>178</v>
      </c>
      <c r="B36" s="4" t="s">
        <v>179</v>
      </c>
      <c r="C36" s="13">
        <f>OECD!C12</f>
        <v>0.23569999999999999</v>
      </c>
      <c r="D36" s="5"/>
      <c r="E36" s="95">
        <f>E44</f>
        <v>370000</v>
      </c>
      <c r="F36" s="7"/>
      <c r="G36" s="7"/>
      <c r="H36" s="5">
        <f t="shared" si="1"/>
        <v>87209</v>
      </c>
      <c r="I36" s="9"/>
      <c r="J36" s="9"/>
      <c r="K36" s="7"/>
      <c r="L36" s="7"/>
      <c r="M36" s="7"/>
      <c r="N36" s="7"/>
      <c r="O36" s="7"/>
      <c r="P36" s="7"/>
      <c r="Q36" s="7"/>
      <c r="R36" s="7"/>
      <c r="S36" s="7"/>
      <c r="T36" s="7"/>
      <c r="U36" s="7"/>
      <c r="V36" s="9">
        <f>H36/1000</f>
        <v>87.209000000000003</v>
      </c>
      <c r="W36" s="9"/>
      <c r="X36" s="9"/>
      <c r="Y36" s="9"/>
      <c r="Z36" s="9"/>
      <c r="AA36" s="9"/>
      <c r="AB36" s="9"/>
      <c r="AC36" s="9"/>
      <c r="AD36" s="4"/>
      <c r="AE36" s="4"/>
      <c r="AF36" s="4"/>
      <c r="AG36" s="4"/>
      <c r="AH36" s="4"/>
      <c r="AI36" s="4"/>
      <c r="AJ36" s="4" t="s">
        <v>180</v>
      </c>
      <c r="AK36" s="4" t="s">
        <v>181</v>
      </c>
      <c r="AL36" s="7"/>
      <c r="AM36" s="7"/>
      <c r="AN36" s="7"/>
      <c r="AO36" s="4"/>
      <c r="AP36" s="4"/>
      <c r="AQ36" s="4"/>
      <c r="AR36" s="4">
        <v>107</v>
      </c>
      <c r="AS36" s="4"/>
      <c r="AT36" s="4"/>
    </row>
    <row r="37" spans="1:46" s="67" customFormat="1" ht="15.75" customHeight="1" x14ac:dyDescent="0.2">
      <c r="A37" s="93" t="s">
        <v>182</v>
      </c>
      <c r="B37" s="93" t="s">
        <v>72</v>
      </c>
      <c r="C37" s="94">
        <f>'Cost per MFD'!B52</f>
        <v>8.6189053674993517</v>
      </c>
      <c r="D37" s="94"/>
      <c r="E37" s="95">
        <f>E44</f>
        <v>370000</v>
      </c>
      <c r="F37" s="95"/>
      <c r="G37" s="95"/>
      <c r="H37" s="94">
        <f>C37*E37</f>
        <v>3188994.9859747603</v>
      </c>
      <c r="I37" s="96"/>
      <c r="J37" s="96"/>
      <c r="K37" s="95"/>
      <c r="L37" s="95"/>
      <c r="M37" s="95"/>
      <c r="N37" s="95"/>
      <c r="O37" s="95"/>
      <c r="P37" s="95"/>
      <c r="Q37" s="95"/>
      <c r="R37" s="95"/>
      <c r="S37" s="95"/>
      <c r="T37" s="95"/>
      <c r="U37" s="95"/>
      <c r="V37" s="96"/>
      <c r="W37" s="96"/>
      <c r="X37" s="96"/>
      <c r="Y37" s="96"/>
      <c r="Z37" s="96"/>
      <c r="AA37" s="96"/>
      <c r="AB37" s="96"/>
      <c r="AC37" s="96"/>
      <c r="AD37" s="93"/>
      <c r="AE37" s="93"/>
      <c r="AF37" s="93"/>
      <c r="AG37" s="93"/>
      <c r="AH37" s="93"/>
      <c r="AI37" s="93"/>
      <c r="AJ37" s="93" t="s">
        <v>475</v>
      </c>
      <c r="AK37" s="93"/>
      <c r="AL37" s="95"/>
      <c r="AM37" s="95"/>
      <c r="AN37" s="95"/>
      <c r="AO37" s="93"/>
      <c r="AP37" s="93"/>
      <c r="AQ37" s="93"/>
      <c r="AR37" s="93">
        <v>955</v>
      </c>
      <c r="AS37" s="93"/>
      <c r="AT37" s="93"/>
    </row>
    <row r="38" spans="1:46" s="67" customFormat="1" ht="15.75" customHeight="1" x14ac:dyDescent="0.2">
      <c r="A38" s="93" t="s">
        <v>183</v>
      </c>
      <c r="B38" s="93"/>
      <c r="C38" s="94"/>
      <c r="D38" s="94"/>
      <c r="E38" s="95"/>
      <c r="F38" s="95"/>
      <c r="G38" s="95"/>
      <c r="H38" s="94"/>
      <c r="I38" s="96"/>
      <c r="J38" s="96"/>
      <c r="K38" s="95"/>
      <c r="L38" s="95"/>
      <c r="M38" s="95"/>
      <c r="N38" s="95"/>
      <c r="O38" s="95"/>
      <c r="P38" s="95"/>
      <c r="Q38" s="95"/>
      <c r="R38" s="95"/>
      <c r="S38" s="95"/>
      <c r="T38" s="95"/>
      <c r="U38" s="95"/>
      <c r="V38" s="96"/>
      <c r="W38" s="96"/>
      <c r="X38" s="96"/>
      <c r="Y38" s="96"/>
      <c r="Z38" s="96"/>
      <c r="AA38" s="96"/>
      <c r="AB38" s="96"/>
      <c r="AC38" s="96"/>
      <c r="AD38" s="93"/>
      <c r="AE38" s="93"/>
      <c r="AF38" s="93"/>
      <c r="AG38" s="93"/>
      <c r="AH38" s="93"/>
      <c r="AI38" s="93"/>
      <c r="AJ38" s="93"/>
      <c r="AK38" s="93"/>
      <c r="AL38" s="95"/>
      <c r="AM38" s="95"/>
      <c r="AN38" s="95"/>
      <c r="AO38" s="93"/>
      <c r="AP38" s="93"/>
      <c r="AQ38" s="93"/>
      <c r="AR38" s="93"/>
      <c r="AS38" s="93"/>
      <c r="AT38" s="93"/>
    </row>
    <row r="39" spans="1:46" ht="15.75" customHeight="1" x14ac:dyDescent="0.2">
      <c r="A39" s="4" t="s">
        <v>184</v>
      </c>
      <c r="B39" s="4"/>
      <c r="C39" s="5"/>
      <c r="D39" s="5"/>
      <c r="E39" s="7"/>
      <c r="F39" s="7"/>
      <c r="G39" s="7"/>
      <c r="H39" s="5">
        <f>H12+H14+H17</f>
        <v>409737.84652423335</v>
      </c>
      <c r="I39" s="9"/>
      <c r="J39" s="9"/>
      <c r="K39" s="7"/>
      <c r="L39" s="7"/>
      <c r="M39" s="7"/>
      <c r="N39" s="7"/>
      <c r="O39" s="7"/>
      <c r="P39" s="7"/>
      <c r="Q39" s="7"/>
      <c r="R39" s="7"/>
      <c r="S39" s="7"/>
      <c r="T39" s="7"/>
      <c r="U39" s="7"/>
      <c r="V39" s="9"/>
      <c r="W39" s="9"/>
      <c r="X39" s="9"/>
      <c r="Y39" s="9"/>
      <c r="Z39" s="9"/>
      <c r="AA39" s="9"/>
      <c r="AB39" s="9"/>
      <c r="AC39" s="9"/>
      <c r="AD39" s="4"/>
      <c r="AE39" s="4"/>
      <c r="AF39" s="4"/>
      <c r="AG39" s="4"/>
      <c r="AH39" s="4"/>
      <c r="AI39" s="4"/>
      <c r="AJ39" s="4" t="s">
        <v>990</v>
      </c>
      <c r="AK39" s="4"/>
      <c r="AL39" s="7"/>
      <c r="AM39" s="7"/>
      <c r="AN39" s="7"/>
      <c r="AO39" s="4"/>
      <c r="AP39" s="4"/>
      <c r="AQ39" s="4"/>
      <c r="AR39" s="4">
        <v>16</v>
      </c>
      <c r="AS39" s="4"/>
      <c r="AT39" s="4"/>
    </row>
    <row r="40" spans="1:46" ht="15.75" customHeight="1" x14ac:dyDescent="0.2">
      <c r="A40" s="4" t="s">
        <v>997</v>
      </c>
      <c r="B40" s="4" t="s">
        <v>994</v>
      </c>
      <c r="C40" s="142">
        <f>COVID!M5</f>
        <v>7.1424242424242423E-5</v>
      </c>
      <c r="D40" s="5"/>
      <c r="E40" s="7">
        <f>E44</f>
        <v>370000</v>
      </c>
      <c r="F40" s="7"/>
      <c r="G40" s="7"/>
      <c r="H40" s="5">
        <f>C40*E40</f>
        <v>26.426969696969696</v>
      </c>
      <c r="I40" s="9"/>
      <c r="J40" s="9"/>
      <c r="K40" s="7"/>
      <c r="L40" s="7"/>
      <c r="M40" s="7"/>
      <c r="N40" s="7"/>
      <c r="O40" s="7"/>
      <c r="P40" s="7"/>
      <c r="Q40" s="7"/>
      <c r="R40" s="7"/>
      <c r="S40" s="7"/>
      <c r="T40" s="7"/>
      <c r="U40" s="7"/>
      <c r="V40" s="9"/>
      <c r="W40" s="9"/>
      <c r="X40" s="9"/>
      <c r="Y40" s="9"/>
      <c r="Z40" s="9"/>
      <c r="AA40" s="9"/>
      <c r="AB40" s="9"/>
      <c r="AC40" s="9"/>
      <c r="AD40" s="4"/>
      <c r="AE40" s="4"/>
      <c r="AF40" s="4"/>
      <c r="AG40" s="4"/>
      <c r="AH40" s="4"/>
      <c r="AI40" s="4"/>
      <c r="AJ40" s="4" t="s">
        <v>334</v>
      </c>
      <c r="AL40" s="7"/>
      <c r="AM40" s="7"/>
      <c r="AN40" s="7"/>
      <c r="AO40" s="4"/>
      <c r="AP40" s="4"/>
      <c r="AQ40" s="4"/>
      <c r="AR40" s="4">
        <v>13293026</v>
      </c>
      <c r="AS40" s="144" t="s">
        <v>1026</v>
      </c>
      <c r="AT40" s="4"/>
    </row>
    <row r="41" spans="1:46" ht="15.75" customHeight="1" x14ac:dyDescent="0.2">
      <c r="A41" s="4"/>
      <c r="B41" s="4"/>
      <c r="C41" s="5"/>
      <c r="D41" s="5"/>
      <c r="E41" s="7"/>
      <c r="F41" s="7"/>
      <c r="G41" s="7"/>
      <c r="H41" s="7"/>
      <c r="T41" t="s">
        <v>27</v>
      </c>
      <c r="W41" t="s">
        <v>28</v>
      </c>
      <c r="Y41" t="s">
        <v>29</v>
      </c>
      <c r="AD41" s="4"/>
      <c r="AE41" s="4"/>
      <c r="AF41" s="4"/>
      <c r="AG41" s="4"/>
      <c r="AH41" s="4"/>
      <c r="AI41" s="4"/>
      <c r="AJ41" s="4" t="s">
        <v>185</v>
      </c>
      <c r="AK41" s="4"/>
      <c r="AL41" s="7"/>
      <c r="AM41" s="7"/>
      <c r="AN41" s="7"/>
      <c r="AO41" s="4"/>
      <c r="AP41" s="4"/>
      <c r="AQ41" s="4"/>
      <c r="AR41" s="4">
        <v>22</v>
      </c>
      <c r="AS41" s="4"/>
      <c r="AT41" s="4"/>
    </row>
    <row r="42" spans="1:46" ht="15.75" customHeight="1" x14ac:dyDescent="0.2">
      <c r="A42">
        <v>46.15</v>
      </c>
      <c r="B42">
        <f>1000000/C17</f>
        <v>958220.35262928088</v>
      </c>
      <c r="C42" s="21"/>
      <c r="D42" s="21"/>
      <c r="E42" s="24">
        <f>E44*71/29</f>
        <v>905862.06896551722</v>
      </c>
      <c r="F42" s="24"/>
      <c r="G42" s="24"/>
      <c r="I42" t="s">
        <v>32</v>
      </c>
      <c r="K42" t="s">
        <v>33</v>
      </c>
      <c r="O42" t="s">
        <v>35</v>
      </c>
      <c r="P42" t="s">
        <v>36</v>
      </c>
      <c r="Q42" t="s">
        <v>37</v>
      </c>
      <c r="R42" t="s">
        <v>38</v>
      </c>
      <c r="U42" t="s">
        <v>39</v>
      </c>
      <c r="V42" t="s">
        <v>40</v>
      </c>
      <c r="AC42" t="s">
        <v>41</v>
      </c>
      <c r="AJ42" s="4" t="s">
        <v>186</v>
      </c>
      <c r="AK42" s="4"/>
      <c r="AL42" s="7"/>
      <c r="AM42" s="17"/>
      <c r="AN42" s="17"/>
      <c r="AR42" s="4">
        <v>16</v>
      </c>
    </row>
    <row r="43" spans="1:46" ht="15.75" customHeight="1" x14ac:dyDescent="0.2">
      <c r="C43" s="21"/>
      <c r="D43" s="21"/>
      <c r="E43" s="21"/>
      <c r="F43" s="21"/>
      <c r="G43" s="21"/>
      <c r="R43" t="s">
        <v>54</v>
      </c>
      <c r="Z43" t="s">
        <v>56</v>
      </c>
      <c r="AJ43" s="4" t="s">
        <v>187</v>
      </c>
      <c r="AK43" s="4"/>
      <c r="AL43" s="7"/>
      <c r="AM43" s="17"/>
      <c r="AN43" s="17"/>
      <c r="AR43" s="4">
        <v>189</v>
      </c>
    </row>
    <row r="44" spans="1:46" ht="15.75" customHeight="1" x14ac:dyDescent="0.2">
      <c r="C44" s="21" t="s">
        <v>188</v>
      </c>
      <c r="D44" s="21"/>
      <c r="E44" s="161">
        <v>370000</v>
      </c>
      <c r="F44" s="89"/>
      <c r="G44" s="89"/>
      <c r="AJ44" s="4" t="s">
        <v>53</v>
      </c>
      <c r="AK44" s="4"/>
      <c r="AL44" s="17">
        <f>1000000/C35</f>
        <v>85438.634929373846</v>
      </c>
      <c r="AM44" s="17">
        <f>1000000/C19</f>
        <v>203692.52810436493</v>
      </c>
    </row>
    <row r="45" spans="1:46" ht="15.75" customHeight="1" x14ac:dyDescent="0.2">
      <c r="A45" s="4" t="s">
        <v>63</v>
      </c>
      <c r="C45" s="153" t="s">
        <v>1095</v>
      </c>
      <c r="E45" s="161">
        <f>10000/2</f>
        <v>5000</v>
      </c>
      <c r="H45" s="17">
        <f>(24*60)/C6</f>
        <v>31.200000000000006</v>
      </c>
      <c r="I45" s="17"/>
      <c r="J45" s="17"/>
      <c r="K45" s="17"/>
      <c r="L45" s="17"/>
      <c r="M45" s="17"/>
      <c r="N45" s="17"/>
      <c r="O45" s="17"/>
      <c r="P45" s="17"/>
      <c r="Q45" s="17"/>
      <c r="R45" s="17"/>
      <c r="S45" s="17"/>
      <c r="T45" s="17"/>
      <c r="U45" s="17"/>
      <c r="V45" s="17"/>
      <c r="W45" s="17"/>
      <c r="X45" s="17"/>
      <c r="Y45" s="17"/>
      <c r="Z45" s="17"/>
      <c r="AA45" s="17"/>
      <c r="AB45" s="17"/>
      <c r="AC45" s="17"/>
      <c r="AD45" t="s">
        <v>219</v>
      </c>
      <c r="AJ45" s="4" t="s">
        <v>220</v>
      </c>
      <c r="AK45" s="4"/>
      <c r="AQ45" s="17">
        <v>237629</v>
      </c>
      <c r="AR45" s="52">
        <f>AQ45*100</f>
        <v>23762900</v>
      </c>
    </row>
    <row r="46" spans="1:46" ht="15.75" customHeight="1" x14ac:dyDescent="0.2">
      <c r="A46" s="4" t="s">
        <v>69</v>
      </c>
      <c r="H46" s="17">
        <f>365.3*C7</f>
        <v>349.35204571428579</v>
      </c>
      <c r="I46" s="17"/>
      <c r="J46" s="17"/>
      <c r="K46" s="17"/>
      <c r="L46" s="17"/>
      <c r="M46" s="17"/>
      <c r="N46" s="17"/>
      <c r="O46" s="17"/>
      <c r="P46" s="17">
        <f>8000/365</f>
        <v>21.917808219178081</v>
      </c>
      <c r="Q46" s="17"/>
      <c r="R46" s="17"/>
      <c r="S46" s="17"/>
      <c r="T46" s="17"/>
      <c r="U46" s="17"/>
      <c r="V46" s="17"/>
      <c r="W46" s="17"/>
      <c r="X46" s="17"/>
      <c r="Y46" s="17"/>
      <c r="Z46" s="17"/>
      <c r="AA46" s="17"/>
      <c r="AB46" s="17"/>
      <c r="AC46" s="17"/>
      <c r="AD46" t="s">
        <v>225</v>
      </c>
      <c r="AJ46" s="4" t="s">
        <v>226</v>
      </c>
      <c r="AK46" s="4"/>
      <c r="AQ46">
        <v>2358</v>
      </c>
      <c r="AR46" s="52">
        <f>AQ46*100</f>
        <v>235800</v>
      </c>
    </row>
    <row r="47" spans="1:46" ht="15.75" customHeight="1" x14ac:dyDescent="0.2">
      <c r="A47" s="4" t="s">
        <v>74</v>
      </c>
      <c r="B47" t="s">
        <v>35</v>
      </c>
      <c r="C47" t="s">
        <v>227</v>
      </c>
      <c r="D47">
        <f>3*365</f>
        <v>1095</v>
      </c>
      <c r="H47" s="17">
        <f>365.3*C10</f>
        <v>13.432766385220443</v>
      </c>
      <c r="I47" s="17"/>
      <c r="J47" s="17"/>
      <c r="K47" s="17"/>
      <c r="L47" s="17"/>
      <c r="M47" s="17"/>
      <c r="N47" s="17"/>
      <c r="O47" s="17"/>
      <c r="P47" s="17"/>
      <c r="Q47" s="17"/>
      <c r="R47" s="17"/>
      <c r="S47" s="17"/>
      <c r="T47" s="17"/>
      <c r="U47" s="17"/>
      <c r="V47" s="17"/>
      <c r="W47" s="17"/>
      <c r="X47" s="17"/>
      <c r="Y47" s="17"/>
      <c r="Z47" s="17"/>
      <c r="AA47" s="17"/>
      <c r="AB47" s="17"/>
      <c r="AC47" s="17"/>
      <c r="AD47" t="s">
        <v>231</v>
      </c>
    </row>
    <row r="48" spans="1:46" ht="15.75" customHeight="1" x14ac:dyDescent="0.2">
      <c r="A48" s="4" t="s">
        <v>232</v>
      </c>
      <c r="C48" t="s">
        <v>233</v>
      </c>
      <c r="D48">
        <f>10*365/4</f>
        <v>912.5</v>
      </c>
      <c r="H48" s="17">
        <f>(80*365)*C12</f>
        <v>3.8269094115497699</v>
      </c>
      <c r="I48" s="17"/>
      <c r="J48" s="17"/>
      <c r="K48" s="17"/>
      <c r="L48" s="17"/>
      <c r="M48" s="17"/>
      <c r="N48" s="17"/>
      <c r="O48" s="17"/>
      <c r="P48" s="17"/>
      <c r="Q48" s="17"/>
      <c r="R48" s="17"/>
      <c r="S48" s="17"/>
      <c r="T48" s="17"/>
      <c r="U48" s="17"/>
      <c r="V48" s="17"/>
      <c r="W48" s="17"/>
      <c r="X48" s="17"/>
      <c r="Y48" s="17"/>
      <c r="Z48" s="17"/>
      <c r="AA48" s="17"/>
      <c r="AB48" s="17"/>
      <c r="AC48" s="17"/>
      <c r="AD48" t="s">
        <v>240</v>
      </c>
      <c r="AJ48" s="4" t="s">
        <v>241</v>
      </c>
      <c r="AK48">
        <v>100</v>
      </c>
      <c r="AL48" s="25" t="s">
        <v>242</v>
      </c>
    </row>
    <row r="49" spans="1:46" ht="15.75" customHeight="1" x14ac:dyDescent="0.2">
      <c r="A49" s="4" t="s">
        <v>89</v>
      </c>
      <c r="D49">
        <f>40*365</f>
        <v>14600</v>
      </c>
      <c r="H49" s="17">
        <f>C14*365</f>
        <v>23.23853989813243</v>
      </c>
      <c r="I49" s="17"/>
      <c r="J49" s="17"/>
      <c r="K49" s="17"/>
      <c r="L49" s="17"/>
      <c r="M49" s="17"/>
      <c r="N49" s="17"/>
      <c r="O49" s="17"/>
      <c r="P49" s="17"/>
      <c r="Q49" s="17"/>
      <c r="R49" s="17"/>
      <c r="S49" s="17"/>
      <c r="T49" s="17"/>
      <c r="U49" s="17"/>
      <c r="V49" s="17"/>
      <c r="W49" s="17"/>
      <c r="X49" s="17"/>
      <c r="Y49" s="17"/>
      <c r="Z49" s="17"/>
      <c r="AA49" s="17"/>
      <c r="AB49" s="17"/>
      <c r="AC49" s="17"/>
      <c r="AD49" t="s">
        <v>253</v>
      </c>
      <c r="AJ49" s="4" t="s">
        <v>254</v>
      </c>
      <c r="AK49" t="s">
        <v>255</v>
      </c>
    </row>
    <row r="50" spans="1:46" ht="15.75" customHeight="1" x14ac:dyDescent="0.2">
      <c r="A50" s="4" t="s">
        <v>26</v>
      </c>
      <c r="C50" t="s">
        <v>256</v>
      </c>
      <c r="D50">
        <f>D47+D48</f>
        <v>2007.5</v>
      </c>
      <c r="H50" s="17">
        <f>(80*365)*C17</f>
        <v>30473.157786596275</v>
      </c>
      <c r="I50" s="17"/>
      <c r="J50" s="17"/>
      <c r="K50" s="17"/>
      <c r="L50" s="17"/>
      <c r="M50" s="17"/>
      <c r="N50" s="17"/>
      <c r="O50" s="17"/>
      <c r="P50" s="17"/>
      <c r="Q50" s="17"/>
      <c r="R50" s="17"/>
      <c r="S50" s="17"/>
      <c r="T50" s="17"/>
      <c r="U50" s="17"/>
      <c r="V50" s="17"/>
      <c r="W50" s="17"/>
      <c r="X50" s="17"/>
      <c r="Y50" s="17"/>
      <c r="Z50" s="17"/>
      <c r="AA50" s="17"/>
      <c r="AB50" s="17"/>
      <c r="AC50" s="17"/>
      <c r="AD50" t="s">
        <v>259</v>
      </c>
      <c r="AJ50" s="4" t="s">
        <v>260</v>
      </c>
      <c r="AK50">
        <v>1185</v>
      </c>
    </row>
    <row r="51" spans="1:46" ht="15.75" customHeight="1" x14ac:dyDescent="0.2">
      <c r="A51" s="4" t="s">
        <v>43</v>
      </c>
      <c r="H51" s="17">
        <f>C19*52</f>
        <v>255.28673282191784</v>
      </c>
      <c r="I51" s="17"/>
      <c r="J51" s="17"/>
      <c r="K51" s="17"/>
      <c r="L51" s="17"/>
      <c r="M51" s="17"/>
      <c r="N51" s="17"/>
      <c r="O51" s="17"/>
      <c r="P51" s="17"/>
      <c r="Q51" s="17"/>
      <c r="R51" s="17"/>
      <c r="S51" s="17"/>
      <c r="T51" s="17"/>
      <c r="U51" s="17"/>
      <c r="V51" s="17"/>
      <c r="W51" s="17"/>
      <c r="X51" s="17"/>
      <c r="Y51" s="17"/>
      <c r="Z51" s="17"/>
      <c r="AA51" s="17"/>
      <c r="AB51" s="17"/>
      <c r="AC51" s="17"/>
      <c r="AD51" t="s">
        <v>262</v>
      </c>
      <c r="AJ51" s="4" t="s">
        <v>263</v>
      </c>
      <c r="AK51" s="17">
        <v>500000000000</v>
      </c>
      <c r="AL51" t="s">
        <v>620</v>
      </c>
      <c r="AQ51">
        <v>55</v>
      </c>
      <c r="AR51">
        <f>AQ51*100</f>
        <v>5500</v>
      </c>
      <c r="AT51" t="s">
        <v>270</v>
      </c>
    </row>
    <row r="52" spans="1:46" ht="15.75" customHeight="1" x14ac:dyDescent="0.2">
      <c r="A52" s="4" t="s">
        <v>113</v>
      </c>
      <c r="H52" s="17">
        <f>52*C20*2</f>
        <v>648.67224719101125</v>
      </c>
      <c r="I52" s="17"/>
      <c r="J52" s="17"/>
      <c r="K52" s="17"/>
      <c r="L52" s="17"/>
      <c r="M52" s="17"/>
      <c r="N52" s="17"/>
      <c r="O52" s="17"/>
      <c r="P52" s="17"/>
      <c r="Q52" s="17"/>
      <c r="R52" s="17"/>
      <c r="S52" s="17"/>
      <c r="T52" s="17"/>
      <c r="U52" s="17"/>
      <c r="V52" s="17"/>
      <c r="W52" s="17"/>
      <c r="X52" s="17"/>
      <c r="Y52" s="17"/>
      <c r="Z52" s="17"/>
      <c r="AA52" s="17"/>
      <c r="AB52" s="17"/>
      <c r="AC52" s="17"/>
      <c r="AD52" t="s">
        <v>271</v>
      </c>
      <c r="AJ52" s="49" t="s">
        <v>621</v>
      </c>
      <c r="AK52">
        <v>3996000000000</v>
      </c>
      <c r="AL52" t="s">
        <v>626</v>
      </c>
    </row>
    <row r="53" spans="1:46" ht="15.75" customHeight="1" x14ac:dyDescent="0.2">
      <c r="A53" s="4" t="s">
        <v>272</v>
      </c>
      <c r="H53" s="17">
        <f>(C34*365*82)/AP10</f>
        <v>15.63758696</v>
      </c>
      <c r="I53" s="17"/>
      <c r="J53" s="17"/>
      <c r="K53" s="17"/>
      <c r="L53" s="17"/>
      <c r="M53" s="17"/>
      <c r="N53" s="17"/>
      <c r="O53" s="17"/>
      <c r="P53" s="17"/>
      <c r="Q53" s="17"/>
      <c r="R53" s="17"/>
      <c r="S53" s="17"/>
      <c r="T53" s="17"/>
      <c r="U53" s="17" t="s">
        <v>278</v>
      </c>
      <c r="V53" s="17"/>
      <c r="W53" s="17"/>
      <c r="X53" s="17"/>
      <c r="Y53" s="17"/>
      <c r="Z53" s="17"/>
      <c r="AA53" s="17"/>
      <c r="AB53" s="17"/>
      <c r="AC53" s="17"/>
      <c r="AD53" t="s">
        <v>281</v>
      </c>
    </row>
    <row r="54" spans="1:46" ht="15.75" customHeight="1" x14ac:dyDescent="0.2">
      <c r="A54" s="4" t="s">
        <v>175</v>
      </c>
      <c r="H54" s="17">
        <f>(C35*7*52*10)/10000</f>
        <v>4.2603676931506849</v>
      </c>
      <c r="I54" s="17"/>
      <c r="J54" s="17"/>
      <c r="K54" s="17"/>
      <c r="L54" s="17"/>
      <c r="M54" s="17"/>
      <c r="N54" s="17"/>
      <c r="O54" s="17"/>
      <c r="R54" s="17"/>
      <c r="S54" s="17"/>
      <c r="T54" s="17"/>
      <c r="U54" s="17" t="s">
        <v>287</v>
      </c>
      <c r="V54" s="17"/>
      <c r="W54" s="17"/>
      <c r="X54" s="17"/>
      <c r="Y54" s="17"/>
      <c r="Z54" s="17"/>
      <c r="AA54" s="17"/>
      <c r="AB54" s="17"/>
      <c r="AC54" s="17"/>
      <c r="AD54" t="s">
        <v>288</v>
      </c>
    </row>
    <row r="55" spans="1:46" ht="15.75" customHeight="1" x14ac:dyDescent="0.2">
      <c r="A55" s="4"/>
      <c r="H55" s="17"/>
      <c r="I55" s="17"/>
      <c r="J55" s="17"/>
      <c r="K55" s="17"/>
      <c r="L55" s="17"/>
      <c r="M55" s="17"/>
      <c r="N55" s="17"/>
      <c r="O55" s="17"/>
      <c r="R55" s="17"/>
      <c r="S55" s="17"/>
      <c r="T55" s="17"/>
      <c r="U55" s="17"/>
      <c r="V55" s="17"/>
      <c r="W55" s="17"/>
      <c r="X55" s="17"/>
      <c r="Y55" s="17"/>
      <c r="Z55" s="17"/>
      <c r="AA55" s="17"/>
      <c r="AB55" s="17"/>
      <c r="AC55" s="17"/>
    </row>
    <row r="56" spans="1:46" ht="15.75" customHeight="1" x14ac:dyDescent="0.2">
      <c r="B56" t="s">
        <v>289</v>
      </c>
      <c r="C56" t="s">
        <v>290</v>
      </c>
      <c r="D56" t="s">
        <v>291</v>
      </c>
      <c r="H56" t="s">
        <v>292</v>
      </c>
      <c r="K56" t="s">
        <v>293</v>
      </c>
      <c r="O56" t="s">
        <v>294</v>
      </c>
      <c r="P56" t="s">
        <v>61</v>
      </c>
      <c r="T56" t="s">
        <v>295</v>
      </c>
      <c r="V56" t="s">
        <v>296</v>
      </c>
    </row>
    <row r="57" spans="1:46" ht="15.75" customHeight="1" x14ac:dyDescent="0.2">
      <c r="A57" s="4" t="s">
        <v>297</v>
      </c>
      <c r="C57" t="s">
        <v>298</v>
      </c>
      <c r="E57" t="s">
        <v>299</v>
      </c>
      <c r="H57" t="s">
        <v>300</v>
      </c>
      <c r="K57" s="27">
        <v>42898</v>
      </c>
      <c r="L57" s="27"/>
      <c r="M57" s="27"/>
      <c r="N57" s="27"/>
      <c r="R57" t="s">
        <v>44</v>
      </c>
      <c r="W57" t="s">
        <v>301</v>
      </c>
      <c r="AH57" t="s">
        <v>61</v>
      </c>
      <c r="AK57" t="s">
        <v>61</v>
      </c>
      <c r="AM57" t="s">
        <v>302</v>
      </c>
      <c r="AN57" t="s">
        <v>60</v>
      </c>
    </row>
    <row r="58" spans="1:46" ht="15.75" customHeight="1" x14ac:dyDescent="0.2">
      <c r="A58" s="4" t="s">
        <v>303</v>
      </c>
      <c r="B58">
        <v>51000</v>
      </c>
      <c r="C58">
        <f>8*30</f>
        <v>240</v>
      </c>
      <c r="E58">
        <f>C58/7</f>
        <v>34.285714285714285</v>
      </c>
      <c r="H58">
        <f>W58/E58</f>
        <v>1604.1666666666667</v>
      </c>
      <c r="K58" s="17">
        <f>B58+(E58*H58)</f>
        <v>106000</v>
      </c>
      <c r="L58" s="17"/>
      <c r="M58" s="17"/>
      <c r="N58" s="17"/>
      <c r="O58">
        <f>K58*C19</f>
        <v>520392.1861369863</v>
      </c>
      <c r="P58">
        <f>O58/10000</f>
        <v>52.03921861369863</v>
      </c>
      <c r="R58">
        <f>O58/AO7</f>
        <v>2660.1231942659592</v>
      </c>
      <c r="T58">
        <f>O58/AO6</f>
        <v>72.884059683051305</v>
      </c>
      <c r="U58" s="17">
        <f>(22*10000/4.69)</f>
        <v>46908.315565031982</v>
      </c>
      <c r="V58" s="17">
        <v>106000</v>
      </c>
      <c r="W58" s="17">
        <f>V58-B58</f>
        <v>55000</v>
      </c>
      <c r="AE58" t="s">
        <v>304</v>
      </c>
      <c r="AH58" s="17">
        <f>AK58+AK59+AK62+AK63</f>
        <v>1365000</v>
      </c>
      <c r="AJ58" t="s">
        <v>305</v>
      </c>
      <c r="AK58" s="17">
        <f>3674*100</f>
        <v>367400</v>
      </c>
    </row>
    <row r="59" spans="1:46" ht="15.75" customHeight="1" x14ac:dyDescent="0.2">
      <c r="A59" s="4"/>
      <c r="B59" s="17"/>
      <c r="D59">
        <f>(106500-B58)/E58</f>
        <v>1618.75</v>
      </c>
      <c r="P59">
        <v>25</v>
      </c>
      <c r="AE59" t="s">
        <v>306</v>
      </c>
      <c r="AH59" s="17">
        <f>AK58+AK59+AK62+AK63+AK64</f>
        <v>1554100</v>
      </c>
      <c r="AJ59" t="s">
        <v>307</v>
      </c>
      <c r="AK59" s="17">
        <f>1920*100</f>
        <v>192000</v>
      </c>
    </row>
    <row r="60" spans="1:46" ht="15.75" customHeight="1" x14ac:dyDescent="0.2">
      <c r="T60">
        <f>(25*10000)/AO6</f>
        <v>35.0140056022409</v>
      </c>
      <c r="AJ60" t="s">
        <v>308</v>
      </c>
      <c r="AK60" s="17">
        <f>20735*100</f>
        <v>2073500</v>
      </c>
      <c r="AM60">
        <f>AK60/100</f>
        <v>20735</v>
      </c>
    </row>
    <row r="61" spans="1:46" ht="15.75" customHeight="1" x14ac:dyDescent="0.2">
      <c r="AJ61" t="s">
        <v>316</v>
      </c>
      <c r="AK61" s="17"/>
    </row>
    <row r="62" spans="1:46" ht="15.75" customHeight="1" x14ac:dyDescent="0.2">
      <c r="AJ62" t="s">
        <v>319</v>
      </c>
      <c r="AK62" s="17">
        <f>3934*100</f>
        <v>393400</v>
      </c>
    </row>
    <row r="63" spans="1:46" ht="15.75" customHeight="1" x14ac:dyDescent="0.2">
      <c r="AJ63" t="s">
        <v>323</v>
      </c>
      <c r="AK63" s="17">
        <f>4122*100</f>
        <v>412200</v>
      </c>
    </row>
    <row r="64" spans="1:46" ht="15.75" customHeight="1" x14ac:dyDescent="0.2">
      <c r="AJ64" t="s">
        <v>324</v>
      </c>
      <c r="AK64" s="17">
        <f>1891*100</f>
        <v>189100</v>
      </c>
    </row>
    <row r="65" spans="1:41" ht="15.75" customHeight="1" x14ac:dyDescent="0.2">
      <c r="A65" t="s">
        <v>325</v>
      </c>
      <c r="B65" s="17">
        <v>24130000</v>
      </c>
      <c r="AJ65" t="s">
        <v>326</v>
      </c>
      <c r="AK65" s="17">
        <v>8000000</v>
      </c>
      <c r="AM65">
        <v>80077</v>
      </c>
    </row>
    <row r="66" spans="1:41" ht="15.75" customHeight="1" x14ac:dyDescent="0.2">
      <c r="A66" t="s">
        <v>1001</v>
      </c>
      <c r="B66" s="17">
        <v>68123545</v>
      </c>
      <c r="C66" t="s">
        <v>1000</v>
      </c>
      <c r="AJ66" t="s">
        <v>327</v>
      </c>
      <c r="AK66" s="17"/>
    </row>
    <row r="67" spans="1:41" ht="15.75" customHeight="1" x14ac:dyDescent="0.2">
      <c r="D67" t="s">
        <v>605</v>
      </c>
      <c r="AJ67" t="s">
        <v>328</v>
      </c>
      <c r="AK67" s="17">
        <v>1626700</v>
      </c>
      <c r="AM67">
        <f>AK67/100</f>
        <v>16267</v>
      </c>
      <c r="AN67">
        <f>AK67/100</f>
        <v>16267</v>
      </c>
    </row>
    <row r="68" spans="1:41" ht="22" customHeight="1" x14ac:dyDescent="0.3">
      <c r="A68" s="51" t="s">
        <v>607</v>
      </c>
      <c r="C68" t="s">
        <v>592</v>
      </c>
      <c r="D68" t="s">
        <v>606</v>
      </c>
      <c r="E68" t="s">
        <v>534</v>
      </c>
      <c r="I68" t="s">
        <v>841</v>
      </c>
      <c r="J68" t="s">
        <v>365</v>
      </c>
      <c r="K68" t="s">
        <v>847</v>
      </c>
      <c r="L68" t="s">
        <v>959</v>
      </c>
      <c r="M68" s="153" t="s">
        <v>958</v>
      </c>
      <c r="P68" t="s">
        <v>958</v>
      </c>
      <c r="Q68" t="s">
        <v>958</v>
      </c>
      <c r="R68" t="s">
        <v>960</v>
      </c>
      <c r="S68" s="153" t="s">
        <v>1153</v>
      </c>
      <c r="AJ68" t="s">
        <v>330</v>
      </c>
      <c r="AK68">
        <f>28*100</f>
        <v>2800</v>
      </c>
    </row>
    <row r="69" spans="1:41" ht="22" customHeight="1" x14ac:dyDescent="0.3">
      <c r="A69" s="51"/>
      <c r="M69" t="s">
        <v>842</v>
      </c>
      <c r="N69" t="s">
        <v>80</v>
      </c>
      <c r="O69" t="s">
        <v>302</v>
      </c>
      <c r="P69" t="s">
        <v>843</v>
      </c>
      <c r="Q69" t="s">
        <v>71</v>
      </c>
      <c r="R69" t="s">
        <v>68</v>
      </c>
      <c r="S69" s="153" t="s">
        <v>1154</v>
      </c>
      <c r="AJ69" t="s">
        <v>836</v>
      </c>
      <c r="AM69" t="e">
        <f>#REF!+#REF!+AM65</f>
        <v>#REF!</v>
      </c>
    </row>
    <row r="70" spans="1:41" ht="22" customHeight="1" x14ac:dyDescent="0.3">
      <c r="A70" s="51"/>
    </row>
    <row r="71" spans="1:41" ht="15.75" customHeight="1" x14ac:dyDescent="0.2">
      <c r="A71" s="4" t="s">
        <v>63</v>
      </c>
      <c r="B71" s="4" t="s">
        <v>9</v>
      </c>
      <c r="C71" s="106">
        <f>C6</f>
        <v>46.153846153846146</v>
      </c>
      <c r="D71" s="106" t="s">
        <v>549</v>
      </c>
      <c r="E71" s="107">
        <f>C71</f>
        <v>46.153846153846146</v>
      </c>
      <c r="F71" s="107"/>
      <c r="G71" s="107"/>
      <c r="H71" s="4"/>
      <c r="I71" s="61">
        <f>E44</f>
        <v>370000</v>
      </c>
      <c r="J71" s="61">
        <f>C71*I71</f>
        <v>17076923.076923072</v>
      </c>
      <c r="K71" s="61">
        <f t="shared" ref="K71:K81" si="2">E71*I71</f>
        <v>17076923.076923072</v>
      </c>
      <c r="L71" s="4" t="s">
        <v>9</v>
      </c>
      <c r="M71">
        <f>K71/60/24</f>
        <v>11858.974358974358</v>
      </c>
      <c r="N71">
        <f>K71/60/24/365</f>
        <v>32.49034070951879</v>
      </c>
      <c r="O71" s="61"/>
      <c r="AJ71" t="s">
        <v>333</v>
      </c>
      <c r="AL71" t="s">
        <v>302</v>
      </c>
      <c r="AM71" t="s">
        <v>334</v>
      </c>
      <c r="AO71" t="s">
        <v>308</v>
      </c>
    </row>
    <row r="72" spans="1:41" s="67" customFormat="1" ht="15.75" customHeight="1" x14ac:dyDescent="0.2">
      <c r="A72" s="93" t="s">
        <v>69</v>
      </c>
      <c r="B72" s="93" t="s">
        <v>65</v>
      </c>
      <c r="C72" s="107">
        <f>'2 Saving Money'!D18</f>
        <v>0.95634285714285727</v>
      </c>
      <c r="D72" s="107"/>
      <c r="E72" s="107">
        <f>'2 Saving Money'!D30</f>
        <v>-0.15183190539062499</v>
      </c>
      <c r="F72" s="107"/>
      <c r="G72" s="107"/>
      <c r="H72" s="93" t="s">
        <v>608</v>
      </c>
      <c r="I72" s="114">
        <f>E44</f>
        <v>370000</v>
      </c>
      <c r="J72" s="61">
        <f t="shared" ref="J72:J87" si="3">C72*I72</f>
        <v>353846.85714285722</v>
      </c>
      <c r="K72" s="61">
        <f t="shared" si="2"/>
        <v>-56177.804994531245</v>
      </c>
      <c r="L72" s="93" t="s">
        <v>65</v>
      </c>
      <c r="O72" s="114"/>
      <c r="AJ72" s="54" t="s">
        <v>329</v>
      </c>
      <c r="AK72" s="54"/>
      <c r="AL72" s="54"/>
      <c r="AM72" s="54">
        <f>SUM(AM74:AM85)</f>
        <v>12494</v>
      </c>
      <c r="AN72" s="54"/>
      <c r="AO72" s="54">
        <f>SUM(AO74:AO85)</f>
        <v>3493</v>
      </c>
    </row>
    <row r="73" spans="1:41" s="67" customFormat="1" ht="15.75" customHeight="1" x14ac:dyDescent="0.2">
      <c r="A73" s="93"/>
      <c r="B73" s="93" t="s">
        <v>73</v>
      </c>
      <c r="C73" s="107">
        <f>C9</f>
        <v>0.74714285714285722</v>
      </c>
      <c r="D73" s="107"/>
      <c r="E73" s="107">
        <f>'2 Saving Money'!C30</f>
        <v>-0.19434483890000001</v>
      </c>
      <c r="F73" s="107"/>
      <c r="G73" s="107"/>
      <c r="H73" s="93" t="s">
        <v>608</v>
      </c>
      <c r="I73" s="114">
        <f>E44</f>
        <v>370000</v>
      </c>
      <c r="J73" s="61">
        <f t="shared" si="3"/>
        <v>276442.85714285716</v>
      </c>
      <c r="K73" s="61">
        <f t="shared" si="2"/>
        <v>-71907.590393000006</v>
      </c>
      <c r="L73" s="93" t="s">
        <v>73</v>
      </c>
      <c r="O73" s="114"/>
      <c r="AJ73" s="54"/>
      <c r="AK73" s="54"/>
      <c r="AL73" s="54"/>
      <c r="AM73" s="54"/>
      <c r="AN73" s="54"/>
      <c r="AO73" s="54"/>
    </row>
    <row r="74" spans="1:41" ht="15.75" customHeight="1" x14ac:dyDescent="0.2">
      <c r="A74" s="4" t="s">
        <v>74</v>
      </c>
      <c r="B74" s="4" t="s">
        <v>75</v>
      </c>
      <c r="C74" s="106">
        <f>C10</f>
        <v>3.6771876225623987E-2</v>
      </c>
      <c r="D74" s="106" t="s">
        <v>549</v>
      </c>
      <c r="E74" s="107">
        <f>C74</f>
        <v>3.6771876225623987E-2</v>
      </c>
      <c r="F74" s="107"/>
      <c r="G74" s="107"/>
      <c r="H74" s="4"/>
      <c r="I74" s="61">
        <f>E44</f>
        <v>370000</v>
      </c>
      <c r="J74" s="61">
        <f t="shared" si="3"/>
        <v>13605.594203480876</v>
      </c>
      <c r="K74" s="61">
        <f t="shared" si="2"/>
        <v>13605.594203480876</v>
      </c>
      <c r="L74" s="4" t="s">
        <v>75</v>
      </c>
      <c r="O74" s="61"/>
      <c r="P74" s="67"/>
      <c r="Q74" s="67"/>
      <c r="R74" s="67"/>
      <c r="S74" s="67"/>
      <c r="T74" s="67"/>
      <c r="U74" s="67"/>
      <c r="V74" s="67"/>
      <c r="W74" s="67"/>
      <c r="X74" s="67"/>
      <c r="Y74" s="67"/>
      <c r="Z74" s="67"/>
      <c r="AJ74" s="54" t="s">
        <v>336</v>
      </c>
      <c r="AK74" s="54"/>
      <c r="AL74" s="54"/>
      <c r="AM74" s="54">
        <v>1438</v>
      </c>
      <c r="AN74" s="54"/>
      <c r="AO74" s="54"/>
    </row>
    <row r="75" spans="1:41" ht="15.75" customHeight="1" x14ac:dyDescent="0.2">
      <c r="A75" s="4" t="s">
        <v>78</v>
      </c>
      <c r="B75" s="4" t="s">
        <v>79</v>
      </c>
      <c r="C75" s="106">
        <f>C12</f>
        <v>1.3105854149143048E-4</v>
      </c>
      <c r="D75" s="106">
        <f>'4 Cows'!N16</f>
        <v>3.4397992919999999E-4</v>
      </c>
      <c r="E75" s="107">
        <f>C75+D75</f>
        <v>4.7503847069143049E-4</v>
      </c>
      <c r="F75" s="107"/>
      <c r="G75" s="107"/>
      <c r="H75" s="4"/>
      <c r="I75" s="61">
        <f>E44</f>
        <v>370000</v>
      </c>
      <c r="J75" s="61">
        <f t="shared" si="3"/>
        <v>48.491660351829275</v>
      </c>
      <c r="K75" s="61">
        <f t="shared" si="2"/>
        <v>175.76423415582929</v>
      </c>
      <c r="L75" s="4" t="s">
        <v>79</v>
      </c>
      <c r="O75" s="61"/>
      <c r="P75" s="67"/>
      <c r="Q75" s="67"/>
      <c r="R75" s="67"/>
      <c r="S75" s="67"/>
      <c r="T75" s="67"/>
      <c r="U75" s="67"/>
      <c r="V75" s="67"/>
      <c r="W75" s="67"/>
      <c r="X75" s="67"/>
      <c r="Y75" s="67"/>
      <c r="Z75" s="67"/>
      <c r="AJ75" s="54" t="s">
        <v>337</v>
      </c>
      <c r="AK75" s="54"/>
      <c r="AL75" s="54"/>
      <c r="AM75" s="54">
        <v>2292</v>
      </c>
      <c r="AN75" s="54"/>
      <c r="AO75" s="54"/>
    </row>
    <row r="76" spans="1:41" ht="15.75" customHeight="1" x14ac:dyDescent="0.2">
      <c r="A76" s="4" t="s">
        <v>642</v>
      </c>
      <c r="B76" s="4" t="s">
        <v>642</v>
      </c>
      <c r="C76" s="106">
        <f>C13</f>
        <v>9.1869545245751023E-4</v>
      </c>
      <c r="D76" s="106"/>
      <c r="E76" s="107">
        <f>C76</f>
        <v>9.1869545245751023E-4</v>
      </c>
      <c r="F76" s="107"/>
      <c r="G76" s="107"/>
      <c r="H76" s="4"/>
      <c r="I76" s="61">
        <f>E44</f>
        <v>370000</v>
      </c>
      <c r="J76" s="61">
        <f t="shared" si="3"/>
        <v>339.91731740927878</v>
      </c>
      <c r="K76" s="61">
        <f t="shared" si="2"/>
        <v>339.91731740927878</v>
      </c>
      <c r="L76" s="4" t="s">
        <v>642</v>
      </c>
      <c r="O76" s="61"/>
      <c r="P76" s="67"/>
      <c r="Q76" s="67"/>
      <c r="R76" s="67"/>
      <c r="S76" s="67"/>
      <c r="T76" s="67"/>
      <c r="U76" s="67"/>
      <c r="V76" s="67"/>
      <c r="W76" s="67"/>
      <c r="X76" s="67"/>
      <c r="Y76" s="67"/>
      <c r="Z76" s="67"/>
      <c r="AJ76" s="54" t="s">
        <v>338</v>
      </c>
      <c r="AK76" s="54"/>
      <c r="AL76" s="54"/>
      <c r="AM76" s="54"/>
      <c r="AN76" s="54">
        <v>2142</v>
      </c>
      <c r="AO76" s="126">
        <v>2142</v>
      </c>
    </row>
    <row r="77" spans="1:41" ht="15.75" customHeight="1" x14ac:dyDescent="0.2">
      <c r="A77" s="4" t="s">
        <v>89</v>
      </c>
      <c r="B77" s="4" t="s">
        <v>90</v>
      </c>
      <c r="C77" s="106">
        <f>C14</f>
        <v>6.3667232597623094E-2</v>
      </c>
      <c r="D77" s="106">
        <f>'5 Chickens'!L16</f>
        <v>4.5620854199999996E-3</v>
      </c>
      <c r="E77" s="107">
        <f>C77+D77</f>
        <v>6.8229318017623095E-2</v>
      </c>
      <c r="F77" s="107"/>
      <c r="G77" s="107"/>
      <c r="H77" s="4"/>
      <c r="I77" s="61">
        <f>E44</f>
        <v>370000</v>
      </c>
      <c r="J77" s="61">
        <f>C77*I77</f>
        <v>23556.876061120543</v>
      </c>
      <c r="K77" s="61">
        <f t="shared" si="2"/>
        <v>25244.847666520545</v>
      </c>
      <c r="L77" s="4" t="s">
        <v>90</v>
      </c>
      <c r="O77" s="61"/>
      <c r="AJ77" s="54" t="s">
        <v>340</v>
      </c>
      <c r="AK77" s="54"/>
      <c r="AL77" s="54"/>
      <c r="AM77" s="54">
        <v>956</v>
      </c>
      <c r="AN77" s="54"/>
      <c r="AO77" s="54"/>
    </row>
    <row r="78" spans="1:41" ht="15.75" customHeight="1" x14ac:dyDescent="0.2">
      <c r="A78" s="4" t="s">
        <v>26</v>
      </c>
      <c r="B78" s="4" t="s">
        <v>101</v>
      </c>
      <c r="C78" s="106">
        <f t="shared" ref="C78" si="4">C17</f>
        <v>1.0436012940615162</v>
      </c>
      <c r="D78" s="106" t="s">
        <v>604</v>
      </c>
      <c r="E78" s="107">
        <f>C78</f>
        <v>1.0436012940615162</v>
      </c>
      <c r="F78" s="107"/>
      <c r="G78" s="107"/>
      <c r="H78" s="4"/>
      <c r="I78" s="61">
        <f>E44</f>
        <v>370000</v>
      </c>
      <c r="J78" s="61">
        <f t="shared" si="3"/>
        <v>386132.478802761</v>
      </c>
      <c r="K78" s="61">
        <f t="shared" si="2"/>
        <v>386132.478802761</v>
      </c>
      <c r="L78" s="4" t="s">
        <v>101</v>
      </c>
      <c r="O78" s="61"/>
      <c r="AJ78" s="54" t="s">
        <v>341</v>
      </c>
      <c r="AK78" s="54"/>
      <c r="AL78" s="54"/>
      <c r="AM78" s="54">
        <v>620</v>
      </c>
      <c r="AN78" s="54"/>
      <c r="AO78" s="54"/>
    </row>
    <row r="79" spans="1:41" s="71" customFormat="1" ht="15.75" customHeight="1" x14ac:dyDescent="0.2">
      <c r="A79" s="136" t="s">
        <v>43</v>
      </c>
      <c r="B79" s="136" t="s">
        <v>58</v>
      </c>
      <c r="C79" s="137">
        <f>C19</f>
        <v>4.9093602465753428</v>
      </c>
      <c r="D79" s="137">
        <f>'7 Forest'!L73</f>
        <v>6.2958029033612313</v>
      </c>
      <c r="E79" s="137">
        <f t="shared" ref="E79:E84" si="5">C79+D79</f>
        <v>11.205163149936574</v>
      </c>
      <c r="F79" s="137"/>
      <c r="G79" s="137"/>
      <c r="H79" s="136" t="s">
        <v>654</v>
      </c>
      <c r="I79" s="138">
        <f>E45</f>
        <v>5000</v>
      </c>
      <c r="J79" s="138">
        <f t="shared" si="3"/>
        <v>24546.801232876714</v>
      </c>
      <c r="K79" s="138">
        <f t="shared" si="2"/>
        <v>56025.815749682872</v>
      </c>
      <c r="L79" s="136" t="s">
        <v>58</v>
      </c>
      <c r="O79" s="138">
        <f>K79/10000/100</f>
        <v>5.6025815749682871E-2</v>
      </c>
      <c r="Q79" s="71">
        <f>K79/AO7</f>
        <v>286.39087196857116</v>
      </c>
      <c r="R79" s="71">
        <f>K79/AO6</f>
        <v>7.8467529061180494</v>
      </c>
      <c r="AJ79" s="54" t="s">
        <v>342</v>
      </c>
      <c r="AK79" s="54"/>
      <c r="AL79" s="54"/>
      <c r="AM79" s="54">
        <v>1436</v>
      </c>
      <c r="AN79" s="54"/>
      <c r="AO79" s="54"/>
    </row>
    <row r="80" spans="1:41" s="67" customFormat="1" ht="15.75" customHeight="1" x14ac:dyDescent="0.2">
      <c r="A80" s="93" t="s">
        <v>837</v>
      </c>
      <c r="B80" s="93" t="s">
        <v>114</v>
      </c>
      <c r="C80" s="107">
        <f>'8 Greenhouse'!G23</f>
        <v>6.2372331460674157</v>
      </c>
      <c r="D80" s="107">
        <f>'8 Greenhouse'!H53</f>
        <v>7.2057453285663886</v>
      </c>
      <c r="E80" s="107">
        <f t="shared" si="5"/>
        <v>13.442978474633804</v>
      </c>
      <c r="F80" s="107"/>
      <c r="G80" s="107"/>
      <c r="H80" s="93"/>
      <c r="I80" s="114">
        <f>E44</f>
        <v>370000</v>
      </c>
      <c r="J80" s="61">
        <f t="shared" si="3"/>
        <v>2307776.2640449437</v>
      </c>
      <c r="K80" s="114">
        <f t="shared" si="2"/>
        <v>4973902.0356145073</v>
      </c>
      <c r="L80" s="93" t="s">
        <v>114</v>
      </c>
      <c r="O80" s="114"/>
      <c r="AJ80" s="54" t="s">
        <v>1010</v>
      </c>
      <c r="AK80" s="54"/>
      <c r="AL80" s="54"/>
      <c r="AM80" s="54">
        <v>2179</v>
      </c>
      <c r="AN80" s="54"/>
      <c r="AO80" s="54"/>
    </row>
    <row r="81" spans="1:41" s="71" customFormat="1" ht="15.75" customHeight="1" x14ac:dyDescent="0.2">
      <c r="A81" s="136" t="s">
        <v>838</v>
      </c>
      <c r="B81" s="136" t="s">
        <v>114</v>
      </c>
      <c r="C81" s="137">
        <f>'8 Greenhouse'!G24</f>
        <v>1374.687694719546</v>
      </c>
      <c r="D81" s="137">
        <f>'8 Greenhouse'!H54</f>
        <v>1762.9105107264513</v>
      </c>
      <c r="E81" s="137">
        <f t="shared" si="5"/>
        <v>3137.5982054459973</v>
      </c>
      <c r="F81" s="137"/>
      <c r="G81" s="137"/>
      <c r="H81" s="136" t="s">
        <v>654</v>
      </c>
      <c r="I81" s="138">
        <f>E45</f>
        <v>5000</v>
      </c>
      <c r="J81" s="138">
        <f t="shared" si="3"/>
        <v>6873438.4735977305</v>
      </c>
      <c r="K81" s="138">
        <f t="shared" si="2"/>
        <v>15687991.027229987</v>
      </c>
      <c r="L81" s="136" t="s">
        <v>114</v>
      </c>
      <c r="O81" s="138"/>
      <c r="AJ81" s="54" t="s">
        <v>1011</v>
      </c>
      <c r="AK81" s="54"/>
      <c r="AL81" s="54"/>
      <c r="AM81" s="54">
        <v>1049</v>
      </c>
      <c r="AN81" s="54"/>
      <c r="AO81" s="54"/>
    </row>
    <row r="82" spans="1:41" s="67" customFormat="1" ht="15.75" customHeight="1" x14ac:dyDescent="0.2">
      <c r="A82" s="93" t="s">
        <v>839</v>
      </c>
      <c r="B82" s="93" t="s">
        <v>114</v>
      </c>
      <c r="C82" s="107">
        <f>C81+C80</f>
        <v>1380.9249278656134</v>
      </c>
      <c r="D82" s="107">
        <f>D81+D80</f>
        <v>1770.1162560550176</v>
      </c>
      <c r="E82" s="107">
        <f t="shared" si="5"/>
        <v>3151.0411839206308</v>
      </c>
      <c r="F82" s="107"/>
      <c r="G82" s="107"/>
      <c r="H82" s="93" t="s">
        <v>840</v>
      </c>
      <c r="I82" s="114">
        <f>E44</f>
        <v>370000</v>
      </c>
      <c r="J82" s="138">
        <f>J80+J81</f>
        <v>9181214.7376426738</v>
      </c>
      <c r="K82" s="138">
        <f>K80+K81</f>
        <v>20661893.062844492</v>
      </c>
      <c r="L82" s="93" t="s">
        <v>114</v>
      </c>
      <c r="O82" s="114"/>
      <c r="S82" s="67">
        <f>K82/AQ29</f>
        <v>1330.4502938084026</v>
      </c>
      <c r="AJ82" s="54" t="s">
        <v>1012</v>
      </c>
      <c r="AK82" s="54"/>
      <c r="AL82" s="54"/>
      <c r="AM82" s="54"/>
      <c r="AN82" s="54"/>
      <c r="AO82" s="54">
        <v>1351</v>
      </c>
    </row>
    <row r="83" spans="1:41" s="67" customFormat="1" ht="15.75" customHeight="1" x14ac:dyDescent="0.2">
      <c r="A83" s="93" t="s">
        <v>849</v>
      </c>
      <c r="B83" s="93" t="s">
        <v>851</v>
      </c>
      <c r="C83" s="107">
        <f>'8 Greenhouse'!M30</f>
        <v>1.6325393333333338</v>
      </c>
      <c r="D83" s="107">
        <f>'8 Greenhouse'!N30</f>
        <v>2.0936062442303389</v>
      </c>
      <c r="E83" s="107">
        <f t="shared" si="5"/>
        <v>3.7261455775636727</v>
      </c>
      <c r="F83" s="107"/>
      <c r="G83" s="107"/>
      <c r="H83" s="93"/>
      <c r="I83" s="114">
        <f>E44</f>
        <v>370000</v>
      </c>
      <c r="J83" s="114">
        <f t="shared" si="3"/>
        <v>604039.55333333346</v>
      </c>
      <c r="K83" s="114">
        <f t="shared" ref="K83:K84" si="6">E83*I83</f>
        <v>1378673.8636985589</v>
      </c>
      <c r="L83" s="93" t="s">
        <v>851</v>
      </c>
      <c r="O83" s="114"/>
      <c r="AJ83" s="167" t="s">
        <v>1013</v>
      </c>
      <c r="AK83" s="167"/>
      <c r="AL83" s="167"/>
      <c r="AM83" s="167">
        <v>303</v>
      </c>
      <c r="AN83" s="167"/>
      <c r="AO83" s="167"/>
    </row>
    <row r="84" spans="1:41" s="71" customFormat="1" ht="15.75" customHeight="1" x14ac:dyDescent="0.2">
      <c r="A84" s="136" t="s">
        <v>850</v>
      </c>
      <c r="B84" s="136" t="s">
        <v>851</v>
      </c>
      <c r="C84" s="137">
        <f>'8 Greenhouse'!M31</f>
        <v>321.78990859407673</v>
      </c>
      <c r="D84" s="137">
        <f>'8 Greenhouse'!N31</f>
        <v>412.66595626429591</v>
      </c>
      <c r="E84" s="137">
        <f t="shared" si="5"/>
        <v>734.45586485837271</v>
      </c>
      <c r="F84" s="137"/>
      <c r="G84" s="137"/>
      <c r="H84" s="136" t="s">
        <v>654</v>
      </c>
      <c r="I84" s="138">
        <f>E45</f>
        <v>5000</v>
      </c>
      <c r="J84" s="138">
        <f t="shared" si="3"/>
        <v>1608949.5429703838</v>
      </c>
      <c r="K84" s="138">
        <f t="shared" si="6"/>
        <v>3672279.3242918635</v>
      </c>
      <c r="L84" s="136" t="s">
        <v>851</v>
      </c>
      <c r="O84" s="138"/>
      <c r="AJ84" s="54" t="s">
        <v>1014</v>
      </c>
      <c r="AK84" s="54"/>
      <c r="AL84" s="54"/>
      <c r="AM84" s="54">
        <v>580</v>
      </c>
      <c r="AN84" s="54"/>
      <c r="AO84" s="54"/>
    </row>
    <row r="85" spans="1:41" s="71" customFormat="1" ht="15.75" customHeight="1" x14ac:dyDescent="0.2">
      <c r="A85" s="136" t="s">
        <v>839</v>
      </c>
      <c r="B85" s="136" t="s">
        <v>851</v>
      </c>
      <c r="C85" s="137">
        <f>C84+C83</f>
        <v>323.42244792741008</v>
      </c>
      <c r="D85" s="137"/>
      <c r="E85" s="137">
        <f>E83+E84</f>
        <v>738.18201043593638</v>
      </c>
      <c r="F85" s="137"/>
      <c r="G85" s="137"/>
      <c r="H85" s="136" t="s">
        <v>840</v>
      </c>
      <c r="I85" s="138">
        <f>E44</f>
        <v>370000</v>
      </c>
      <c r="J85" s="138">
        <f>J83+J84</f>
        <v>2212989.0963037172</v>
      </c>
      <c r="K85" s="138">
        <f>K83+K84</f>
        <v>5050953.1879904224</v>
      </c>
      <c r="L85" s="136" t="s">
        <v>851</v>
      </c>
      <c r="O85" s="138"/>
      <c r="AJ85" s="54" t="s">
        <v>1015</v>
      </c>
      <c r="AK85" s="54"/>
      <c r="AL85" s="54"/>
      <c r="AM85" s="54">
        <v>1641</v>
      </c>
      <c r="AN85" s="54"/>
      <c r="AO85" s="54"/>
    </row>
    <row r="86" spans="1:41" ht="15.75" customHeight="1" x14ac:dyDescent="0.2">
      <c r="A86" s="4" t="s">
        <v>272</v>
      </c>
      <c r="B86" s="19" t="s">
        <v>59</v>
      </c>
      <c r="C86" s="106">
        <f>C33</f>
        <v>860.36589999999978</v>
      </c>
      <c r="D86" s="106">
        <f>'9 water'!G36</f>
        <v>353.86898332430133</v>
      </c>
      <c r="E86" s="107">
        <f t="shared" ref="E86" si="7">C86+D86</f>
        <v>1214.2348833243011</v>
      </c>
      <c r="F86" s="107"/>
      <c r="G86" s="107"/>
      <c r="H86" s="92"/>
      <c r="I86" s="61">
        <f>E44</f>
        <v>370000</v>
      </c>
      <c r="J86" s="61">
        <f t="shared" si="3"/>
        <v>318335382.99999994</v>
      </c>
      <c r="K86" s="61">
        <f>E86*I86</f>
        <v>449266906.8299914</v>
      </c>
      <c r="L86" s="19" t="s">
        <v>59</v>
      </c>
      <c r="O86" s="61"/>
      <c r="P86" s="139">
        <f>K86/AP10</f>
        <v>179.70676273199655</v>
      </c>
      <c r="AL86" t="s">
        <v>302</v>
      </c>
      <c r="AM86" t="s">
        <v>835</v>
      </c>
    </row>
    <row r="87" spans="1:41" ht="15.75" customHeight="1" x14ac:dyDescent="0.25">
      <c r="A87" s="4" t="s">
        <v>175</v>
      </c>
      <c r="B87" s="4" t="s">
        <v>58</v>
      </c>
      <c r="C87" s="106">
        <f>C35</f>
        <v>11.704306849315069</v>
      </c>
      <c r="D87" s="106" t="s">
        <v>604</v>
      </c>
      <c r="E87" s="107">
        <f>C87</f>
        <v>11.704306849315069</v>
      </c>
      <c r="F87" s="107"/>
      <c r="G87" s="107"/>
      <c r="H87" s="93" t="s">
        <v>654</v>
      </c>
      <c r="I87" s="61">
        <f>E45</f>
        <v>5000</v>
      </c>
      <c r="J87" s="61">
        <f t="shared" si="3"/>
        <v>58521.534246575342</v>
      </c>
      <c r="K87" s="61">
        <f>E87*I87</f>
        <v>58521.534246575342</v>
      </c>
      <c r="L87" s="4" t="s">
        <v>58</v>
      </c>
      <c r="O87" s="123">
        <f>K87/10000/100</f>
        <v>5.8521534246575344E-2</v>
      </c>
      <c r="Q87">
        <f>K87/AO7</f>
        <v>299.14840145652283</v>
      </c>
      <c r="AJ87" s="117">
        <v>1</v>
      </c>
      <c r="AK87" s="118" t="s">
        <v>666</v>
      </c>
      <c r="AL87" s="121">
        <v>0.44</v>
      </c>
      <c r="AM87" s="121">
        <v>0.17</v>
      </c>
      <c r="AN87" s="119" t="s">
        <v>667</v>
      </c>
      <c r="AO87" s="120" t="s">
        <v>668</v>
      </c>
    </row>
    <row r="88" spans="1:41" ht="15.75" customHeight="1" x14ac:dyDescent="0.25">
      <c r="AJ88" s="117">
        <v>2</v>
      </c>
      <c r="AK88" s="118" t="s">
        <v>669</v>
      </c>
      <c r="AL88" s="121">
        <v>2.02</v>
      </c>
      <c r="AM88" s="121">
        <v>0.78</v>
      </c>
      <c r="AN88" s="119" t="s">
        <v>667</v>
      </c>
      <c r="AO88" s="120" t="s">
        <v>670</v>
      </c>
    </row>
    <row r="89" spans="1:41" ht="15.75" customHeight="1" x14ac:dyDescent="0.25">
      <c r="AJ89" s="117">
        <v>3</v>
      </c>
      <c r="AK89" s="118" t="s">
        <v>671</v>
      </c>
      <c r="AL89" s="121">
        <v>21</v>
      </c>
      <c r="AM89" s="121">
        <v>8.1</v>
      </c>
      <c r="AN89" s="119" t="s">
        <v>672</v>
      </c>
      <c r="AO89" s="120" t="s">
        <v>673</v>
      </c>
    </row>
    <row r="90" spans="1:41" ht="15.75" customHeight="1" x14ac:dyDescent="0.25">
      <c r="AJ90" s="117">
        <v>4</v>
      </c>
      <c r="AK90" s="118" t="s">
        <v>674</v>
      </c>
      <c r="AL90" s="121">
        <v>26</v>
      </c>
      <c r="AM90" s="121">
        <v>10</v>
      </c>
      <c r="AN90" s="119" t="s">
        <v>672</v>
      </c>
      <c r="AO90" s="120" t="s">
        <v>673</v>
      </c>
    </row>
    <row r="91" spans="1:41" ht="15.75" customHeight="1" x14ac:dyDescent="0.25">
      <c r="AJ91" s="117">
        <v>5</v>
      </c>
      <c r="AK91" s="118" t="s">
        <v>675</v>
      </c>
      <c r="AL91" s="121">
        <v>61</v>
      </c>
      <c r="AM91" s="121">
        <v>24</v>
      </c>
      <c r="AN91" s="119" t="s">
        <v>667</v>
      </c>
      <c r="AO91" s="120" t="s">
        <v>668</v>
      </c>
    </row>
    <row r="92" spans="1:41" ht="15.75" customHeight="1" x14ac:dyDescent="0.25">
      <c r="AJ92" s="117">
        <v>6</v>
      </c>
      <c r="AK92" s="118" t="s">
        <v>676</v>
      </c>
      <c r="AL92" s="121">
        <v>160</v>
      </c>
      <c r="AM92" s="121">
        <v>62</v>
      </c>
      <c r="AN92" s="119" t="s">
        <v>667</v>
      </c>
      <c r="AO92" s="120" t="s">
        <v>677</v>
      </c>
    </row>
    <row r="93" spans="1:41" ht="15.75" customHeight="1" x14ac:dyDescent="0.25">
      <c r="AJ93" s="117">
        <v>7</v>
      </c>
      <c r="AK93" s="118" t="s">
        <v>678</v>
      </c>
      <c r="AL93" s="121">
        <v>181</v>
      </c>
      <c r="AM93" s="121">
        <v>70</v>
      </c>
      <c r="AN93" s="119" t="s">
        <v>672</v>
      </c>
      <c r="AO93" s="120" t="s">
        <v>673</v>
      </c>
    </row>
    <row r="94" spans="1:41" ht="15.75" customHeight="1" x14ac:dyDescent="0.25">
      <c r="AJ94" s="117">
        <v>8</v>
      </c>
      <c r="AK94" s="118" t="s">
        <v>679</v>
      </c>
      <c r="AL94" s="121">
        <v>269</v>
      </c>
      <c r="AM94" s="121">
        <v>104</v>
      </c>
      <c r="AN94" s="119" t="s">
        <v>680</v>
      </c>
      <c r="AO94" s="120" t="s">
        <v>673</v>
      </c>
    </row>
    <row r="95" spans="1:41" ht="15.75" customHeight="1" x14ac:dyDescent="0.25">
      <c r="AJ95" s="117">
        <v>9</v>
      </c>
      <c r="AK95" s="118" t="s">
        <v>681</v>
      </c>
      <c r="AL95" s="121">
        <v>300</v>
      </c>
      <c r="AM95" s="121">
        <v>116</v>
      </c>
      <c r="AN95" s="119" t="s">
        <v>682</v>
      </c>
      <c r="AO95" s="120" t="s">
        <v>673</v>
      </c>
    </row>
    <row r="96" spans="1:41" ht="15.75" customHeight="1" x14ac:dyDescent="0.25">
      <c r="AJ96" s="117">
        <v>10</v>
      </c>
      <c r="AK96" s="118" t="s">
        <v>683</v>
      </c>
      <c r="AL96" s="121">
        <v>316</v>
      </c>
      <c r="AM96" s="121">
        <v>122</v>
      </c>
      <c r="AN96" s="119" t="s">
        <v>667</v>
      </c>
      <c r="AO96" s="120" t="s">
        <v>673</v>
      </c>
    </row>
    <row r="97" spans="36:41" ht="15.75" customHeight="1" x14ac:dyDescent="0.25">
      <c r="AJ97" s="117">
        <v>11</v>
      </c>
      <c r="AK97" s="118" t="s">
        <v>684</v>
      </c>
      <c r="AL97" s="121">
        <v>344</v>
      </c>
      <c r="AM97" s="121">
        <v>133</v>
      </c>
      <c r="AN97" s="119" t="s">
        <v>680</v>
      </c>
      <c r="AO97" s="120" t="s">
        <v>673</v>
      </c>
    </row>
    <row r="98" spans="36:41" ht="15.75" customHeight="1" x14ac:dyDescent="0.25">
      <c r="AJ98" s="117">
        <v>12</v>
      </c>
      <c r="AK98" s="118" t="s">
        <v>685</v>
      </c>
      <c r="AL98" s="121">
        <v>389</v>
      </c>
      <c r="AM98" s="121">
        <v>150</v>
      </c>
      <c r="AN98" s="119" t="s">
        <v>680</v>
      </c>
      <c r="AO98" s="120" t="s">
        <v>673</v>
      </c>
    </row>
    <row r="99" spans="36:41" ht="15.75" customHeight="1" x14ac:dyDescent="0.25">
      <c r="AJ99" s="117">
        <v>13</v>
      </c>
      <c r="AK99" s="118" t="s">
        <v>686</v>
      </c>
      <c r="AL99" s="121">
        <v>430</v>
      </c>
      <c r="AM99" s="121">
        <v>170</v>
      </c>
      <c r="AN99" s="119" t="s">
        <v>680</v>
      </c>
      <c r="AO99" s="120" t="s">
        <v>673</v>
      </c>
    </row>
    <row r="100" spans="36:41" ht="15.75" customHeight="1" x14ac:dyDescent="0.25">
      <c r="AJ100" s="117">
        <v>14</v>
      </c>
      <c r="AK100" s="118" t="s">
        <v>687</v>
      </c>
      <c r="AL100" s="121">
        <v>442</v>
      </c>
      <c r="AM100" s="121">
        <v>171</v>
      </c>
      <c r="AN100" s="119" t="s">
        <v>680</v>
      </c>
      <c r="AO100" s="120" t="s">
        <v>673</v>
      </c>
    </row>
    <row r="101" spans="36:41" ht="15.75" customHeight="1" x14ac:dyDescent="0.25">
      <c r="AJ101" s="117">
        <v>15</v>
      </c>
      <c r="AK101" s="118" t="s">
        <v>688</v>
      </c>
      <c r="AL101" s="121">
        <v>455</v>
      </c>
      <c r="AM101" s="121">
        <v>176</v>
      </c>
      <c r="AN101" s="119" t="s">
        <v>689</v>
      </c>
      <c r="AO101" s="120" t="s">
        <v>673</v>
      </c>
    </row>
    <row r="102" spans="36:41" ht="15.75" customHeight="1" x14ac:dyDescent="0.25">
      <c r="AJ102" s="117">
        <v>16</v>
      </c>
      <c r="AK102" s="118" t="s">
        <v>690</v>
      </c>
      <c r="AL102" s="121">
        <v>460</v>
      </c>
      <c r="AM102" s="121">
        <v>178</v>
      </c>
      <c r="AN102" s="119" t="s">
        <v>672</v>
      </c>
      <c r="AO102" s="120" t="s">
        <v>673</v>
      </c>
    </row>
    <row r="103" spans="36:41" ht="15.75" customHeight="1" x14ac:dyDescent="0.25">
      <c r="AJ103" s="117">
        <v>17</v>
      </c>
      <c r="AK103" s="118" t="s">
        <v>691</v>
      </c>
      <c r="AL103" s="121">
        <v>468</v>
      </c>
      <c r="AM103" s="121">
        <v>181</v>
      </c>
      <c r="AN103" s="119" t="s">
        <v>667</v>
      </c>
      <c r="AO103" s="120" t="s">
        <v>692</v>
      </c>
    </row>
    <row r="104" spans="36:41" ht="15.75" customHeight="1" x14ac:dyDescent="0.25">
      <c r="AJ104" s="117">
        <v>18</v>
      </c>
      <c r="AK104" s="118" t="s">
        <v>693</v>
      </c>
      <c r="AL104" s="121">
        <v>616</v>
      </c>
      <c r="AM104" s="121">
        <v>238</v>
      </c>
      <c r="AN104" s="119" t="s">
        <v>680</v>
      </c>
      <c r="AO104" s="120" t="s">
        <v>673</v>
      </c>
    </row>
    <row r="105" spans="36:41" ht="15.75" customHeight="1" x14ac:dyDescent="0.25">
      <c r="AJ105" s="117">
        <v>19</v>
      </c>
      <c r="AK105" s="118" t="s">
        <v>694</v>
      </c>
      <c r="AL105" s="121">
        <v>702</v>
      </c>
      <c r="AM105" s="121">
        <v>271</v>
      </c>
      <c r="AN105" s="119" t="s">
        <v>672</v>
      </c>
      <c r="AO105" s="120" t="s">
        <v>673</v>
      </c>
    </row>
    <row r="106" spans="36:41" ht="15.75" customHeight="1" x14ac:dyDescent="0.25">
      <c r="AJ106" s="117">
        <v>20</v>
      </c>
      <c r="AK106" s="118" t="s">
        <v>695</v>
      </c>
      <c r="AL106" s="121">
        <v>719.1</v>
      </c>
      <c r="AM106" s="121">
        <v>277.60000000000002</v>
      </c>
      <c r="AN106" s="119" t="s">
        <v>682</v>
      </c>
      <c r="AO106" s="120" t="s">
        <v>673</v>
      </c>
    </row>
    <row r="107" spans="36:41" ht="15.75" customHeight="1" x14ac:dyDescent="0.25">
      <c r="AJ107" s="117">
        <v>21</v>
      </c>
      <c r="AK107" s="118" t="s">
        <v>696</v>
      </c>
      <c r="AL107" s="121">
        <v>747</v>
      </c>
      <c r="AM107" s="121">
        <v>288</v>
      </c>
      <c r="AN107" s="119" t="s">
        <v>672</v>
      </c>
      <c r="AO107" s="120" t="s">
        <v>673</v>
      </c>
    </row>
    <row r="108" spans="36:41" ht="15.75" customHeight="1" x14ac:dyDescent="0.25">
      <c r="AJ108" s="117">
        <v>22</v>
      </c>
      <c r="AK108" s="118" t="s">
        <v>697</v>
      </c>
      <c r="AL108" s="121">
        <v>751</v>
      </c>
      <c r="AM108" s="121">
        <v>290</v>
      </c>
      <c r="AN108" s="119" t="s">
        <v>680</v>
      </c>
      <c r="AO108" s="120" t="s">
        <v>673</v>
      </c>
    </row>
    <row r="109" spans="36:41" ht="15.75" customHeight="1" x14ac:dyDescent="0.25">
      <c r="AJ109" s="117">
        <v>23</v>
      </c>
      <c r="AK109" s="118" t="s">
        <v>698</v>
      </c>
      <c r="AL109" s="121">
        <v>780</v>
      </c>
      <c r="AM109" s="121">
        <v>301</v>
      </c>
      <c r="AN109" s="119" t="s">
        <v>682</v>
      </c>
      <c r="AO109" s="120" t="s">
        <v>673</v>
      </c>
    </row>
    <row r="110" spans="36:41" ht="15.75" customHeight="1" x14ac:dyDescent="0.25">
      <c r="AJ110" s="117">
        <v>24</v>
      </c>
      <c r="AK110" s="118" t="s">
        <v>699</v>
      </c>
      <c r="AL110" s="121">
        <v>811</v>
      </c>
      <c r="AM110" s="121">
        <v>313</v>
      </c>
      <c r="AN110" s="119" t="s">
        <v>672</v>
      </c>
      <c r="AO110" s="120" t="s">
        <v>673</v>
      </c>
    </row>
    <row r="111" spans="36:41" ht="15.75" customHeight="1" x14ac:dyDescent="0.25">
      <c r="AJ111" s="117">
        <v>25</v>
      </c>
      <c r="AK111" s="118" t="s">
        <v>700</v>
      </c>
      <c r="AL111" s="122">
        <v>1001</v>
      </c>
      <c r="AM111" s="121">
        <v>386</v>
      </c>
      <c r="AN111" s="119" t="s">
        <v>689</v>
      </c>
      <c r="AO111" s="120" t="s">
        <v>673</v>
      </c>
    </row>
    <row r="112" spans="36:41" ht="15.75" customHeight="1" x14ac:dyDescent="0.25">
      <c r="AJ112" s="117">
        <v>26</v>
      </c>
      <c r="AK112" s="118" t="s">
        <v>701</v>
      </c>
      <c r="AL112" s="122">
        <v>2040</v>
      </c>
      <c r="AM112" s="121">
        <v>788</v>
      </c>
      <c r="AN112" s="119" t="s">
        <v>689</v>
      </c>
      <c r="AO112" s="120" t="s">
        <v>673</v>
      </c>
    </row>
    <row r="113" spans="36:41" ht="15.75" customHeight="1" x14ac:dyDescent="0.25">
      <c r="AJ113" s="117">
        <v>27</v>
      </c>
      <c r="AK113" s="118" t="s">
        <v>702</v>
      </c>
      <c r="AL113" s="122">
        <v>2235</v>
      </c>
      <c r="AM113" s="121">
        <v>863</v>
      </c>
      <c r="AN113" s="119" t="s">
        <v>689</v>
      </c>
      <c r="AO113" s="120" t="s">
        <v>673</v>
      </c>
    </row>
    <row r="114" spans="36:41" ht="15.75" customHeight="1" x14ac:dyDescent="0.25">
      <c r="AJ114" s="117">
        <v>28</v>
      </c>
      <c r="AK114" s="118" t="s">
        <v>703</v>
      </c>
      <c r="AL114" s="122">
        <v>2586</v>
      </c>
      <c r="AM114" s="121">
        <v>998</v>
      </c>
      <c r="AN114" s="119" t="s">
        <v>667</v>
      </c>
      <c r="AO114" s="120" t="s">
        <v>704</v>
      </c>
    </row>
    <row r="115" spans="36:41" ht="15.75" customHeight="1" x14ac:dyDescent="0.25">
      <c r="AJ115" s="117">
        <v>29</v>
      </c>
      <c r="AK115" s="118" t="s">
        <v>705</v>
      </c>
      <c r="AL115" s="122">
        <v>2842</v>
      </c>
      <c r="AM115" s="122">
        <v>1097</v>
      </c>
      <c r="AN115" s="119" t="s">
        <v>672</v>
      </c>
      <c r="AO115" s="120" t="s">
        <v>673</v>
      </c>
    </row>
    <row r="116" spans="36:41" ht="15.75" customHeight="1" x14ac:dyDescent="0.25">
      <c r="AJ116" s="117">
        <v>30</v>
      </c>
      <c r="AK116" s="118" t="s">
        <v>706</v>
      </c>
      <c r="AL116" s="122">
        <v>4033</v>
      </c>
      <c r="AM116" s="122">
        <v>1557</v>
      </c>
      <c r="AN116" s="119" t="s">
        <v>689</v>
      </c>
      <c r="AO116" s="120" t="s">
        <v>673</v>
      </c>
    </row>
    <row r="117" spans="36:41" ht="15.75" customHeight="1" x14ac:dyDescent="0.25">
      <c r="AJ117" s="117">
        <v>31</v>
      </c>
      <c r="AK117" s="118" t="s">
        <v>707</v>
      </c>
      <c r="AL117" s="122">
        <v>5131</v>
      </c>
      <c r="AM117" s="122">
        <v>1981</v>
      </c>
      <c r="AN117" s="119" t="s">
        <v>680</v>
      </c>
      <c r="AO117" s="120" t="s">
        <v>673</v>
      </c>
    </row>
    <row r="118" spans="36:41" ht="15.75" customHeight="1" x14ac:dyDescent="0.25">
      <c r="AJ118" s="117">
        <v>32</v>
      </c>
      <c r="AK118" s="118" t="s">
        <v>708</v>
      </c>
      <c r="AL118" s="122">
        <v>5765</v>
      </c>
      <c r="AM118" s="122">
        <v>2226</v>
      </c>
      <c r="AN118" s="119" t="s">
        <v>682</v>
      </c>
      <c r="AO118" s="120" t="s">
        <v>709</v>
      </c>
    </row>
    <row r="119" spans="36:41" ht="15.75" customHeight="1" x14ac:dyDescent="0.25">
      <c r="AJ119" s="117">
        <v>33</v>
      </c>
      <c r="AK119" s="118" t="s">
        <v>710</v>
      </c>
      <c r="AL119" s="122">
        <v>6220</v>
      </c>
      <c r="AM119" s="122">
        <v>2402</v>
      </c>
      <c r="AN119" s="119" t="s">
        <v>682</v>
      </c>
      <c r="AO119" s="120" t="s">
        <v>711</v>
      </c>
    </row>
    <row r="120" spans="36:41" ht="15.75" customHeight="1" x14ac:dyDescent="0.25">
      <c r="AJ120" s="117">
        <v>34</v>
      </c>
      <c r="AK120" s="118" t="s">
        <v>712</v>
      </c>
      <c r="AL120" s="122">
        <v>9250</v>
      </c>
      <c r="AM120" s="122">
        <v>3571</v>
      </c>
      <c r="AN120" s="119" t="s">
        <v>667</v>
      </c>
      <c r="AO120" s="120" t="s">
        <v>713</v>
      </c>
    </row>
    <row r="121" spans="36:41" ht="15.75" customHeight="1" x14ac:dyDescent="0.25">
      <c r="AJ121" s="117">
        <v>35</v>
      </c>
      <c r="AK121" s="118" t="s">
        <v>714</v>
      </c>
      <c r="AL121" s="122">
        <v>10452</v>
      </c>
      <c r="AM121" s="122">
        <v>4036</v>
      </c>
      <c r="AN121" s="119" t="s">
        <v>682</v>
      </c>
      <c r="AO121" s="120" t="s">
        <v>715</v>
      </c>
    </row>
    <row r="122" spans="36:41" ht="15.75" customHeight="1" x14ac:dyDescent="0.25">
      <c r="AJ122" s="117">
        <v>36</v>
      </c>
      <c r="AK122" s="118" t="s">
        <v>716</v>
      </c>
      <c r="AL122" s="122">
        <v>10887</v>
      </c>
      <c r="AM122" s="122">
        <v>4203</v>
      </c>
      <c r="AN122" s="119" t="s">
        <v>667</v>
      </c>
      <c r="AO122" s="120" t="s">
        <v>717</v>
      </c>
    </row>
    <row r="123" spans="36:41" ht="15.75" customHeight="1" x14ac:dyDescent="0.25">
      <c r="AJ123" s="117">
        <v>37</v>
      </c>
      <c r="AK123" s="118" t="s">
        <v>718</v>
      </c>
      <c r="AL123" s="122">
        <v>10991</v>
      </c>
      <c r="AM123" s="122">
        <v>4244</v>
      </c>
      <c r="AN123" s="119" t="s">
        <v>680</v>
      </c>
      <c r="AO123" s="120" t="s">
        <v>673</v>
      </c>
    </row>
    <row r="124" spans="36:41" ht="15.75" customHeight="1" x14ac:dyDescent="0.25">
      <c r="AJ124" s="117">
        <v>38</v>
      </c>
      <c r="AK124" s="118" t="s">
        <v>719</v>
      </c>
      <c r="AL124" s="122">
        <v>11295</v>
      </c>
      <c r="AM124" s="122">
        <v>4361</v>
      </c>
      <c r="AN124" s="119" t="s">
        <v>689</v>
      </c>
      <c r="AO124" s="120" t="s">
        <v>720</v>
      </c>
    </row>
    <row r="125" spans="36:41" ht="15.75" customHeight="1" x14ac:dyDescent="0.25">
      <c r="AJ125" s="117">
        <v>39</v>
      </c>
      <c r="AK125" s="118" t="s">
        <v>721</v>
      </c>
      <c r="AL125" s="122">
        <v>11586</v>
      </c>
      <c r="AM125" s="122">
        <v>4473</v>
      </c>
      <c r="AN125" s="119" t="s">
        <v>682</v>
      </c>
      <c r="AO125" s="120" t="s">
        <v>722</v>
      </c>
    </row>
    <row r="126" spans="36:41" ht="15.75" customHeight="1" x14ac:dyDescent="0.25">
      <c r="AJ126" s="117">
        <v>40</v>
      </c>
      <c r="AK126" s="118" t="s">
        <v>723</v>
      </c>
      <c r="AL126" s="122">
        <v>12189</v>
      </c>
      <c r="AM126" s="122">
        <v>4706</v>
      </c>
      <c r="AN126" s="119" t="s">
        <v>672</v>
      </c>
      <c r="AO126" s="120" t="s">
        <v>673</v>
      </c>
    </row>
    <row r="127" spans="36:41" ht="15.75" customHeight="1" x14ac:dyDescent="0.25">
      <c r="AJ127" s="117">
        <v>41</v>
      </c>
      <c r="AK127" s="118" t="s">
        <v>724</v>
      </c>
      <c r="AL127" s="122">
        <v>13812</v>
      </c>
      <c r="AM127" s="122">
        <v>5333</v>
      </c>
      <c r="AN127" s="119" t="s">
        <v>667</v>
      </c>
      <c r="AO127" s="120" t="s">
        <v>725</v>
      </c>
    </row>
    <row r="128" spans="36:41" ht="15.75" customHeight="1" x14ac:dyDescent="0.25">
      <c r="AJ128" s="117">
        <v>42</v>
      </c>
      <c r="AK128" s="118" t="s">
        <v>726</v>
      </c>
      <c r="AL128" s="122">
        <v>13878</v>
      </c>
      <c r="AM128" s="122">
        <v>5358</v>
      </c>
      <c r="AN128" s="119" t="s">
        <v>680</v>
      </c>
      <c r="AO128" s="120" t="s">
        <v>673</v>
      </c>
    </row>
    <row r="129" spans="36:41" ht="15.75" customHeight="1" x14ac:dyDescent="0.25">
      <c r="AJ129" s="117">
        <v>43</v>
      </c>
      <c r="AK129" s="118" t="s">
        <v>727</v>
      </c>
      <c r="AL129" s="122">
        <v>14874</v>
      </c>
      <c r="AM129" s="122">
        <v>5743</v>
      </c>
      <c r="AN129" s="119" t="s">
        <v>682</v>
      </c>
      <c r="AO129" s="120" t="s">
        <v>728</v>
      </c>
    </row>
    <row r="130" spans="36:41" ht="15.75" customHeight="1" x14ac:dyDescent="0.25">
      <c r="AJ130" s="117">
        <v>44</v>
      </c>
      <c r="AK130" s="118" t="s">
        <v>729</v>
      </c>
      <c r="AL130" s="122">
        <v>17364</v>
      </c>
      <c r="AM130" s="122">
        <v>6704</v>
      </c>
      <c r="AN130" s="119" t="s">
        <v>689</v>
      </c>
      <c r="AO130" s="120" t="s">
        <v>730</v>
      </c>
    </row>
    <row r="131" spans="36:41" ht="15.75" customHeight="1" x14ac:dyDescent="0.25">
      <c r="AJ131" s="117">
        <v>45</v>
      </c>
      <c r="AK131" s="118" t="s">
        <v>731</v>
      </c>
      <c r="AL131" s="122">
        <v>17818</v>
      </c>
      <c r="AM131" s="122">
        <v>6880</v>
      </c>
      <c r="AN131" s="119" t="s">
        <v>682</v>
      </c>
      <c r="AO131" s="120" t="s">
        <v>732</v>
      </c>
    </row>
    <row r="132" spans="36:41" ht="15.75" customHeight="1" x14ac:dyDescent="0.25">
      <c r="AJ132" s="117">
        <v>46</v>
      </c>
      <c r="AK132" s="118" t="s">
        <v>733</v>
      </c>
      <c r="AL132" s="122">
        <v>18274</v>
      </c>
      <c r="AM132" s="122">
        <v>7056</v>
      </c>
      <c r="AN132" s="119" t="s">
        <v>672</v>
      </c>
      <c r="AO132" s="120" t="s">
        <v>673</v>
      </c>
    </row>
    <row r="133" spans="36:41" ht="15.75" customHeight="1" x14ac:dyDescent="0.25">
      <c r="AJ133" s="117">
        <v>47</v>
      </c>
      <c r="AK133" s="118" t="s">
        <v>734</v>
      </c>
      <c r="AL133" s="122">
        <v>20273</v>
      </c>
      <c r="AM133" s="122">
        <v>7827</v>
      </c>
      <c r="AN133" s="119" t="s">
        <v>667</v>
      </c>
      <c r="AO133" s="120" t="s">
        <v>735</v>
      </c>
    </row>
    <row r="134" spans="36:41" ht="15.75" customHeight="1" x14ac:dyDescent="0.25">
      <c r="AJ134" s="117">
        <v>48</v>
      </c>
      <c r="AK134" s="118" t="s">
        <v>736</v>
      </c>
      <c r="AL134" s="122">
        <v>20770</v>
      </c>
      <c r="AM134" s="122">
        <v>8019</v>
      </c>
      <c r="AN134" s="119" t="s">
        <v>682</v>
      </c>
      <c r="AO134" s="120" t="s">
        <v>737</v>
      </c>
    </row>
    <row r="135" spans="36:41" ht="15.75" customHeight="1" x14ac:dyDescent="0.25">
      <c r="AJ135" s="117">
        <v>49</v>
      </c>
      <c r="AK135" s="118" t="s">
        <v>738</v>
      </c>
      <c r="AL135" s="122">
        <v>21041</v>
      </c>
      <c r="AM135" s="122">
        <v>8124</v>
      </c>
      <c r="AN135" s="119" t="s">
        <v>680</v>
      </c>
      <c r="AO135" s="120" t="s">
        <v>739</v>
      </c>
    </row>
    <row r="136" spans="36:41" ht="15.75" customHeight="1" x14ac:dyDescent="0.25">
      <c r="AJ136" s="117">
        <v>50</v>
      </c>
      <c r="AK136" s="118" t="s">
        <v>740</v>
      </c>
      <c r="AL136" s="122">
        <v>22966</v>
      </c>
      <c r="AM136" s="122">
        <v>8867</v>
      </c>
      <c r="AN136" s="119" t="s">
        <v>680</v>
      </c>
      <c r="AO136" s="120" t="s">
        <v>741</v>
      </c>
    </row>
    <row r="137" spans="36:41" ht="15.75" customHeight="1" x14ac:dyDescent="0.25">
      <c r="AJ137" s="117">
        <v>51</v>
      </c>
      <c r="AK137" s="118" t="s">
        <v>742</v>
      </c>
      <c r="AL137" s="122">
        <v>23200</v>
      </c>
      <c r="AM137" s="122">
        <v>8958</v>
      </c>
      <c r="AN137" s="119" t="s">
        <v>689</v>
      </c>
      <c r="AO137" s="120" t="s">
        <v>743</v>
      </c>
    </row>
    <row r="138" spans="36:41" ht="15.75" customHeight="1" x14ac:dyDescent="0.25">
      <c r="AJ138" s="117">
        <v>52</v>
      </c>
      <c r="AK138" s="118" t="s">
        <v>744</v>
      </c>
      <c r="AL138" s="122">
        <v>25713</v>
      </c>
      <c r="AM138" s="122">
        <v>9928</v>
      </c>
      <c r="AN138" s="119" t="s">
        <v>667</v>
      </c>
      <c r="AO138" s="120" t="s">
        <v>745</v>
      </c>
    </row>
    <row r="139" spans="36:41" ht="15.75" customHeight="1" x14ac:dyDescent="0.25">
      <c r="AJ139" s="117">
        <v>53</v>
      </c>
      <c r="AK139" s="118" t="s">
        <v>746</v>
      </c>
      <c r="AL139" s="122">
        <v>26338</v>
      </c>
      <c r="AM139" s="122">
        <v>10169</v>
      </c>
      <c r="AN139" s="119" t="s">
        <v>689</v>
      </c>
      <c r="AO139" s="120" t="s">
        <v>747</v>
      </c>
    </row>
    <row r="140" spans="36:41" ht="15.75" customHeight="1" x14ac:dyDescent="0.25">
      <c r="AJ140" s="117">
        <v>54</v>
      </c>
      <c r="AK140" s="118" t="s">
        <v>748</v>
      </c>
      <c r="AL140" s="122">
        <v>27750</v>
      </c>
      <c r="AM140" s="122">
        <v>10714</v>
      </c>
      <c r="AN140" s="119" t="s">
        <v>680</v>
      </c>
      <c r="AO140" s="120" t="s">
        <v>749</v>
      </c>
    </row>
    <row r="141" spans="36:41" ht="15.75" customHeight="1" x14ac:dyDescent="0.25">
      <c r="AJ141" s="117">
        <v>55</v>
      </c>
      <c r="AK141" s="118" t="s">
        <v>750</v>
      </c>
      <c r="AL141" s="122">
        <v>27830</v>
      </c>
      <c r="AM141" s="122">
        <v>10745</v>
      </c>
      <c r="AN141" s="119" t="s">
        <v>689</v>
      </c>
      <c r="AO141" s="120" t="s">
        <v>751</v>
      </c>
    </row>
    <row r="142" spans="36:41" ht="15.75" customHeight="1" x14ac:dyDescent="0.25">
      <c r="AJ142" s="117">
        <v>56</v>
      </c>
      <c r="AK142" s="118" t="s">
        <v>752</v>
      </c>
      <c r="AL142" s="122">
        <v>28051</v>
      </c>
      <c r="AM142" s="122">
        <v>10831</v>
      </c>
      <c r="AN142" s="119" t="s">
        <v>689</v>
      </c>
      <c r="AO142" s="120" t="s">
        <v>753</v>
      </c>
    </row>
    <row r="143" spans="36:41" ht="15.75" customHeight="1" x14ac:dyDescent="0.25">
      <c r="AJ143" s="117">
        <v>57</v>
      </c>
      <c r="AK143" s="118" t="s">
        <v>754</v>
      </c>
      <c r="AL143" s="122">
        <v>28748</v>
      </c>
      <c r="AM143" s="122">
        <v>11100</v>
      </c>
      <c r="AN143" s="119" t="s">
        <v>667</v>
      </c>
      <c r="AO143" s="120" t="s">
        <v>755</v>
      </c>
    </row>
    <row r="144" spans="36:41" ht="15.75" customHeight="1" x14ac:dyDescent="0.25">
      <c r="AJ144" s="117">
        <v>58</v>
      </c>
      <c r="AK144" s="118" t="s">
        <v>756</v>
      </c>
      <c r="AL144" s="122">
        <v>28896</v>
      </c>
      <c r="AM144" s="122">
        <v>11157</v>
      </c>
      <c r="AN144" s="119" t="s">
        <v>672</v>
      </c>
      <c r="AO144" s="120" t="s">
        <v>673</v>
      </c>
    </row>
    <row r="145" spans="36:41" ht="15.75" customHeight="1" x14ac:dyDescent="0.25">
      <c r="AJ145" s="117">
        <v>59</v>
      </c>
      <c r="AK145" s="118" t="s">
        <v>757</v>
      </c>
      <c r="AL145" s="122">
        <v>29743</v>
      </c>
      <c r="AM145" s="122">
        <v>11484</v>
      </c>
      <c r="AN145" s="119" t="s">
        <v>667</v>
      </c>
      <c r="AO145" s="120" t="s">
        <v>758</v>
      </c>
    </row>
    <row r="146" spans="36:41" ht="15.75" customHeight="1" x14ac:dyDescent="0.25">
      <c r="AJ146" s="117">
        <v>60</v>
      </c>
      <c r="AK146" s="118" t="s">
        <v>759</v>
      </c>
      <c r="AL146" s="122">
        <v>30355</v>
      </c>
      <c r="AM146" s="122">
        <v>11720</v>
      </c>
      <c r="AN146" s="119" t="s">
        <v>689</v>
      </c>
      <c r="AO146" s="120" t="s">
        <v>760</v>
      </c>
    </row>
    <row r="147" spans="36:41" ht="15.75" customHeight="1" x14ac:dyDescent="0.25">
      <c r="AJ147" s="117">
        <v>61</v>
      </c>
      <c r="AK147" s="118" t="s">
        <v>761</v>
      </c>
      <c r="AL147" s="122">
        <v>30528</v>
      </c>
      <c r="AM147" s="122">
        <v>11787</v>
      </c>
      <c r="AN147" s="119" t="s">
        <v>667</v>
      </c>
      <c r="AO147" s="120" t="s">
        <v>762</v>
      </c>
    </row>
    <row r="148" spans="36:41" ht="15.75" customHeight="1" x14ac:dyDescent="0.25">
      <c r="AJ148" s="117">
        <v>62</v>
      </c>
      <c r="AK148" s="118" t="s">
        <v>763</v>
      </c>
      <c r="AL148" s="122">
        <v>33843</v>
      </c>
      <c r="AM148" s="122">
        <v>13067</v>
      </c>
      <c r="AN148" s="119" t="s">
        <v>667</v>
      </c>
      <c r="AO148" s="120" t="s">
        <v>764</v>
      </c>
    </row>
    <row r="149" spans="36:41" ht="15.75" customHeight="1" x14ac:dyDescent="0.25">
      <c r="AJ149" s="117">
        <v>63</v>
      </c>
      <c r="AK149" s="118" t="s">
        <v>765</v>
      </c>
      <c r="AL149" s="122">
        <v>36000</v>
      </c>
      <c r="AM149" s="122">
        <v>13900</v>
      </c>
      <c r="AN149" s="119" t="s">
        <v>682</v>
      </c>
      <c r="AO149" s="120" t="s">
        <v>673</v>
      </c>
    </row>
    <row r="150" spans="36:41" ht="15.75" customHeight="1" x14ac:dyDescent="0.25">
      <c r="AJ150" s="117">
        <v>64</v>
      </c>
      <c r="AK150" s="118" t="s">
        <v>766</v>
      </c>
      <c r="AL150" s="122">
        <v>36125</v>
      </c>
      <c r="AM150" s="122">
        <v>13948</v>
      </c>
      <c r="AN150" s="119" t="s">
        <v>689</v>
      </c>
      <c r="AO150" s="120" t="s">
        <v>767</v>
      </c>
    </row>
    <row r="151" spans="36:41" ht="15.75" customHeight="1" x14ac:dyDescent="0.25">
      <c r="AJ151" s="117">
        <v>65</v>
      </c>
      <c r="AK151" s="118" t="s">
        <v>768</v>
      </c>
      <c r="AL151" s="122">
        <v>38394</v>
      </c>
      <c r="AM151" s="122">
        <v>14824</v>
      </c>
      <c r="AN151" s="119" t="s">
        <v>682</v>
      </c>
      <c r="AO151" s="120" t="s">
        <v>769</v>
      </c>
    </row>
    <row r="152" spans="36:41" ht="15.75" customHeight="1" x14ac:dyDescent="0.25">
      <c r="AJ152" s="117">
        <v>66</v>
      </c>
      <c r="AK152" s="118" t="s">
        <v>770</v>
      </c>
      <c r="AL152" s="122">
        <v>41285</v>
      </c>
      <c r="AM152" s="122">
        <v>15940</v>
      </c>
      <c r="AN152" s="119" t="s">
        <v>667</v>
      </c>
      <c r="AO152" s="120" t="s">
        <v>771</v>
      </c>
    </row>
    <row r="153" spans="36:41" ht="15.75" customHeight="1" x14ac:dyDescent="0.25">
      <c r="AJ153" s="117">
        <v>67</v>
      </c>
      <c r="AK153" s="118" t="s">
        <v>772</v>
      </c>
      <c r="AL153" s="122">
        <v>42199</v>
      </c>
      <c r="AM153" s="122">
        <v>16293</v>
      </c>
      <c r="AN153" s="119" t="s">
        <v>667</v>
      </c>
      <c r="AO153" s="120" t="s">
        <v>773</v>
      </c>
    </row>
    <row r="154" spans="36:41" ht="15.75" customHeight="1" x14ac:dyDescent="0.25">
      <c r="AJ154" s="117">
        <v>68</v>
      </c>
      <c r="AK154" s="118" t="s">
        <v>774</v>
      </c>
      <c r="AL154" s="122">
        <v>45227</v>
      </c>
      <c r="AM154" s="122">
        <v>17462</v>
      </c>
      <c r="AN154" s="119" t="s">
        <v>667</v>
      </c>
      <c r="AO154" s="120" t="s">
        <v>775</v>
      </c>
    </row>
    <row r="155" spans="36:41" ht="15.75" customHeight="1" x14ac:dyDescent="0.25">
      <c r="AJ155" s="117">
        <v>69</v>
      </c>
      <c r="AK155" s="118" t="s">
        <v>749</v>
      </c>
      <c r="AL155" s="122">
        <v>48670</v>
      </c>
      <c r="AM155" s="122">
        <v>18792</v>
      </c>
      <c r="AN155" s="119" t="s">
        <v>680</v>
      </c>
      <c r="AO155" s="120" t="s">
        <v>748</v>
      </c>
    </row>
    <row r="156" spans="36:41" ht="15.75" customHeight="1" x14ac:dyDescent="0.25">
      <c r="AJ156" s="117">
        <v>70</v>
      </c>
      <c r="AK156" s="118" t="s">
        <v>776</v>
      </c>
      <c r="AL156" s="122">
        <v>49036</v>
      </c>
      <c r="AM156" s="122">
        <v>18933</v>
      </c>
      <c r="AN156" s="119" t="s">
        <v>667</v>
      </c>
      <c r="AO156" s="120" t="s">
        <v>777</v>
      </c>
    </row>
    <row r="157" spans="36:41" ht="15.75" customHeight="1" x14ac:dyDescent="0.25">
      <c r="AJ157" s="117">
        <v>71</v>
      </c>
      <c r="AK157" s="118" t="s">
        <v>778</v>
      </c>
      <c r="AL157" s="122">
        <v>51100</v>
      </c>
      <c r="AM157" s="122">
        <v>19730</v>
      </c>
      <c r="AN157" s="119" t="s">
        <v>680</v>
      </c>
      <c r="AO157" s="120" t="s">
        <v>779</v>
      </c>
    </row>
    <row r="158" spans="36:41" ht="15.75" customHeight="1" x14ac:dyDescent="0.25">
      <c r="AJ158" s="117">
        <v>72</v>
      </c>
      <c r="AK158" s="118" t="s">
        <v>780</v>
      </c>
      <c r="AL158" s="122">
        <v>51209</v>
      </c>
      <c r="AM158" s="122">
        <v>19772</v>
      </c>
      <c r="AN158" s="119" t="s">
        <v>667</v>
      </c>
      <c r="AO158" s="120" t="s">
        <v>781</v>
      </c>
    </row>
    <row r="159" spans="36:41" ht="15.75" customHeight="1" x14ac:dyDescent="0.25">
      <c r="AJ159" s="117">
        <v>73</v>
      </c>
      <c r="AK159" s="118" t="s">
        <v>782</v>
      </c>
      <c r="AL159" s="122">
        <v>56594</v>
      </c>
      <c r="AM159" s="122">
        <v>21851</v>
      </c>
      <c r="AN159" s="119" t="s">
        <v>667</v>
      </c>
      <c r="AO159" s="120" t="s">
        <v>783</v>
      </c>
    </row>
    <row r="160" spans="36:41" ht="15.75" customHeight="1" x14ac:dyDescent="0.25">
      <c r="AJ160" s="117">
        <v>74</v>
      </c>
      <c r="AK160" s="118" t="s">
        <v>784</v>
      </c>
      <c r="AL160" s="122">
        <v>56785</v>
      </c>
      <c r="AM160" s="122">
        <v>21925</v>
      </c>
      <c r="AN160" s="119" t="s">
        <v>689</v>
      </c>
      <c r="AO160" s="120" t="s">
        <v>785</v>
      </c>
    </row>
    <row r="161" spans="36:41" ht="15.75" customHeight="1" x14ac:dyDescent="0.25">
      <c r="AJ161" s="117">
        <v>75</v>
      </c>
      <c r="AK161" s="118" t="s">
        <v>786</v>
      </c>
      <c r="AL161" s="122">
        <v>64589</v>
      </c>
      <c r="AM161" s="122">
        <v>24938</v>
      </c>
      <c r="AN161" s="119" t="s">
        <v>667</v>
      </c>
      <c r="AO161" s="120" t="s">
        <v>787</v>
      </c>
    </row>
    <row r="162" spans="36:41" ht="15.75" customHeight="1" x14ac:dyDescent="0.25">
      <c r="AJ162" s="117">
        <v>76</v>
      </c>
      <c r="AK162" s="118" t="s">
        <v>788</v>
      </c>
      <c r="AL162" s="122">
        <v>65300</v>
      </c>
      <c r="AM162" s="122">
        <v>25212</v>
      </c>
      <c r="AN162" s="119" t="s">
        <v>667</v>
      </c>
      <c r="AO162" s="120" t="s">
        <v>789</v>
      </c>
    </row>
    <row r="163" spans="36:41" ht="15.75" customHeight="1" x14ac:dyDescent="0.25">
      <c r="AJ163" s="117">
        <v>77</v>
      </c>
      <c r="AK163" s="118" t="s">
        <v>790</v>
      </c>
      <c r="AL163" s="122">
        <v>65610</v>
      </c>
      <c r="AM163" s="122">
        <v>25332</v>
      </c>
      <c r="AN163" s="119" t="s">
        <v>682</v>
      </c>
      <c r="AO163" s="120" t="s">
        <v>673</v>
      </c>
    </row>
    <row r="164" spans="36:41" ht="15.75" customHeight="1" x14ac:dyDescent="0.25">
      <c r="AJ164" s="117">
        <v>78</v>
      </c>
      <c r="AK164" s="118" t="s">
        <v>791</v>
      </c>
      <c r="AL164" s="122">
        <v>69700</v>
      </c>
      <c r="AM164" s="122">
        <v>26911</v>
      </c>
      <c r="AN164" s="119" t="s">
        <v>792</v>
      </c>
      <c r="AO164" s="120" t="s">
        <v>793</v>
      </c>
    </row>
    <row r="165" spans="36:41" ht="15.75" customHeight="1" x14ac:dyDescent="0.25">
      <c r="AJ165" s="117">
        <v>79</v>
      </c>
      <c r="AK165" s="118" t="s">
        <v>794</v>
      </c>
      <c r="AL165" s="122">
        <v>70282</v>
      </c>
      <c r="AM165" s="122">
        <v>27136</v>
      </c>
      <c r="AN165" s="119" t="s">
        <v>667</v>
      </c>
      <c r="AO165" s="120" t="s">
        <v>795</v>
      </c>
    </row>
    <row r="166" spans="36:41" ht="15.75" customHeight="1" x14ac:dyDescent="0.25">
      <c r="AJ166" s="117">
        <v>80</v>
      </c>
      <c r="AK166" s="118" t="s">
        <v>796</v>
      </c>
      <c r="AL166" s="122">
        <v>71740</v>
      </c>
      <c r="AM166" s="122">
        <v>27699</v>
      </c>
      <c r="AN166" s="119" t="s">
        <v>689</v>
      </c>
      <c r="AO166" s="120" t="s">
        <v>797</v>
      </c>
    </row>
    <row r="167" spans="36:41" ht="15.75" customHeight="1" x14ac:dyDescent="0.25">
      <c r="AJ167" s="117">
        <v>81</v>
      </c>
      <c r="AK167" s="118" t="s">
        <v>798</v>
      </c>
      <c r="AL167" s="122">
        <v>75420</v>
      </c>
      <c r="AM167" s="122">
        <v>29120</v>
      </c>
      <c r="AN167" s="119" t="s">
        <v>680</v>
      </c>
      <c r="AO167" s="120" t="s">
        <v>799</v>
      </c>
    </row>
    <row r="168" spans="36:41" ht="15.75" customHeight="1" x14ac:dyDescent="0.25">
      <c r="AJ168" s="117">
        <v>82</v>
      </c>
      <c r="AK168" s="118" t="s">
        <v>800</v>
      </c>
      <c r="AL168" s="122">
        <v>77474</v>
      </c>
      <c r="AM168" s="122">
        <v>29913</v>
      </c>
      <c r="AN168" s="119" t="s">
        <v>667</v>
      </c>
      <c r="AO168" s="120" t="s">
        <v>801</v>
      </c>
    </row>
    <row r="169" spans="36:41" ht="15.75" customHeight="1" x14ac:dyDescent="0.25">
      <c r="AJ169" s="117">
        <v>83</v>
      </c>
      <c r="AK169" s="118" t="s">
        <v>802</v>
      </c>
      <c r="AL169" s="122">
        <v>78867</v>
      </c>
      <c r="AM169" s="122">
        <v>30451</v>
      </c>
      <c r="AN169" s="119" t="s">
        <v>667</v>
      </c>
      <c r="AO169" s="120" t="s">
        <v>803</v>
      </c>
    </row>
    <row r="170" spans="36:41" ht="15.75" customHeight="1" x14ac:dyDescent="0.25">
      <c r="AJ170" s="117">
        <v>84</v>
      </c>
      <c r="AK170" s="118" t="s">
        <v>804</v>
      </c>
      <c r="AL170" s="122">
        <v>83600</v>
      </c>
      <c r="AM170" s="122">
        <v>32278</v>
      </c>
      <c r="AN170" s="119" t="s">
        <v>682</v>
      </c>
      <c r="AO170" s="120" t="s">
        <v>805</v>
      </c>
    </row>
    <row r="171" spans="36:41" ht="15.75" customHeight="1" x14ac:dyDescent="0.25">
      <c r="AJ171" s="117">
        <v>85</v>
      </c>
      <c r="AK171" s="118" t="s">
        <v>806</v>
      </c>
      <c r="AL171" s="122">
        <v>83879</v>
      </c>
      <c r="AM171" s="122">
        <v>32386</v>
      </c>
      <c r="AN171" s="119" t="s">
        <v>667</v>
      </c>
      <c r="AO171" s="120" t="s">
        <v>807</v>
      </c>
    </row>
    <row r="172" spans="36:41" ht="15.75" customHeight="1" x14ac:dyDescent="0.25">
      <c r="AJ172" s="117">
        <v>86</v>
      </c>
      <c r="AK172" s="118" t="s">
        <v>808</v>
      </c>
      <c r="AL172" s="122">
        <v>86600</v>
      </c>
      <c r="AM172" s="122">
        <v>33436</v>
      </c>
      <c r="AN172" s="119" t="s">
        <v>792</v>
      </c>
      <c r="AO172" s="120" t="s">
        <v>809</v>
      </c>
    </row>
    <row r="173" spans="36:41" ht="15.75" customHeight="1" x14ac:dyDescent="0.25">
      <c r="AJ173" s="117">
        <v>87</v>
      </c>
      <c r="AK173" s="118" t="s">
        <v>810</v>
      </c>
      <c r="AL173" s="122">
        <v>89342</v>
      </c>
      <c r="AM173" s="122">
        <v>34495</v>
      </c>
      <c r="AN173" s="119" t="s">
        <v>682</v>
      </c>
      <c r="AO173" s="120" t="s">
        <v>811</v>
      </c>
    </row>
    <row r="174" spans="36:41" ht="15.75" customHeight="1" x14ac:dyDescent="0.25">
      <c r="AJ174" s="117">
        <v>88</v>
      </c>
      <c r="AK174" s="118" t="s">
        <v>812</v>
      </c>
      <c r="AL174" s="122">
        <v>92220</v>
      </c>
      <c r="AM174" s="122">
        <v>35606</v>
      </c>
      <c r="AN174" s="119" t="s">
        <v>667</v>
      </c>
      <c r="AO174" s="120" t="s">
        <v>813</v>
      </c>
    </row>
    <row r="175" spans="36:41" ht="15.75" customHeight="1" x14ac:dyDescent="0.25">
      <c r="AJ175" s="117">
        <v>89</v>
      </c>
      <c r="AK175" s="118" t="s">
        <v>814</v>
      </c>
      <c r="AL175" s="122">
        <v>93028</v>
      </c>
      <c r="AM175" s="122">
        <v>35918</v>
      </c>
      <c r="AN175" s="119" t="s">
        <v>667</v>
      </c>
      <c r="AO175" s="120" t="s">
        <v>815</v>
      </c>
    </row>
    <row r="176" spans="36:41" ht="15.75" customHeight="1" x14ac:dyDescent="0.25">
      <c r="AJ176" s="117">
        <v>90</v>
      </c>
      <c r="AK176" s="118" t="s">
        <v>816</v>
      </c>
      <c r="AL176" s="122">
        <v>100266</v>
      </c>
      <c r="AM176" s="122">
        <v>38713</v>
      </c>
      <c r="AN176" s="119" t="s">
        <v>682</v>
      </c>
      <c r="AO176" s="120" t="s">
        <v>817</v>
      </c>
    </row>
    <row r="177" spans="36:41" ht="15.75" customHeight="1" x14ac:dyDescent="0.25">
      <c r="AJ177" s="117">
        <v>91</v>
      </c>
      <c r="AK177" s="118" t="s">
        <v>818</v>
      </c>
      <c r="AL177" s="122">
        <v>103000</v>
      </c>
      <c r="AM177" s="122">
        <v>38768</v>
      </c>
      <c r="AN177" s="119" t="s">
        <v>667</v>
      </c>
      <c r="AO177" s="120" t="s">
        <v>673</v>
      </c>
    </row>
    <row r="178" spans="36:41" ht="15.75" customHeight="1" x14ac:dyDescent="0.25">
      <c r="AJ178" s="117">
        <v>92</v>
      </c>
      <c r="AK178" s="118" t="s">
        <v>819</v>
      </c>
      <c r="AL178" s="122">
        <v>108889</v>
      </c>
      <c r="AM178" s="122">
        <v>42042</v>
      </c>
      <c r="AN178" s="119" t="s">
        <v>680</v>
      </c>
      <c r="AO178" s="120" t="s">
        <v>820</v>
      </c>
    </row>
    <row r="179" spans="36:41" ht="15.75" customHeight="1" x14ac:dyDescent="0.25">
      <c r="AJ179" s="117">
        <v>93</v>
      </c>
      <c r="AK179" s="118" t="s">
        <v>821</v>
      </c>
      <c r="AL179" s="122">
        <v>109880</v>
      </c>
      <c r="AM179" s="122">
        <v>42425</v>
      </c>
      <c r="AN179" s="119" t="s">
        <v>680</v>
      </c>
      <c r="AO179" s="120" t="s">
        <v>673</v>
      </c>
    </row>
    <row r="180" spans="36:41" ht="15.75" customHeight="1" x14ac:dyDescent="0.25">
      <c r="AJ180" s="117">
        <v>94</v>
      </c>
      <c r="AK180" s="118" t="s">
        <v>822</v>
      </c>
      <c r="AL180" s="122">
        <v>110879</v>
      </c>
      <c r="AM180" s="122">
        <v>42811</v>
      </c>
      <c r="AN180" s="119" t="s">
        <v>667</v>
      </c>
      <c r="AO180" s="120" t="s">
        <v>823</v>
      </c>
    </row>
    <row r="181" spans="36:41" ht="15.75" customHeight="1" x14ac:dyDescent="0.25">
      <c r="AJ181" s="117">
        <v>95</v>
      </c>
      <c r="AK181" s="118" t="s">
        <v>824</v>
      </c>
      <c r="AL181" s="122">
        <v>111369</v>
      </c>
      <c r="AM181" s="122">
        <v>43000</v>
      </c>
      <c r="AN181" s="119" t="s">
        <v>689</v>
      </c>
      <c r="AO181" s="120" t="s">
        <v>825</v>
      </c>
    </row>
    <row r="182" spans="36:41" ht="15.75" customHeight="1" x14ac:dyDescent="0.25">
      <c r="AJ182" s="117">
        <v>96</v>
      </c>
      <c r="AK182" s="118" t="s">
        <v>826</v>
      </c>
      <c r="AL182" s="122">
        <v>112090</v>
      </c>
      <c r="AM182" s="122">
        <v>43278</v>
      </c>
      <c r="AN182" s="119" t="s">
        <v>680</v>
      </c>
      <c r="AO182" s="120" t="s">
        <v>827</v>
      </c>
    </row>
    <row r="183" spans="36:41" ht="15.75" customHeight="1" x14ac:dyDescent="0.25">
      <c r="AJ183" s="117">
        <v>97</v>
      </c>
      <c r="AK183" s="118" t="s">
        <v>828</v>
      </c>
      <c r="AL183" s="122">
        <v>114763</v>
      </c>
      <c r="AM183" s="122">
        <v>44310</v>
      </c>
      <c r="AN183" s="119" t="s">
        <v>689</v>
      </c>
      <c r="AO183" s="120" t="s">
        <v>829</v>
      </c>
    </row>
    <row r="184" spans="36:41" ht="15.75" customHeight="1" x14ac:dyDescent="0.25">
      <c r="AJ184" s="117">
        <v>98</v>
      </c>
      <c r="AK184" s="118" t="s">
        <v>830</v>
      </c>
      <c r="AL184" s="122">
        <v>117600</v>
      </c>
      <c r="AM184" s="122">
        <v>45406</v>
      </c>
      <c r="AN184" s="119" t="s">
        <v>689</v>
      </c>
      <c r="AO184" s="120" t="s">
        <v>831</v>
      </c>
    </row>
    <row r="185" spans="36:41" ht="15.75" customHeight="1" x14ac:dyDescent="0.25">
      <c r="AJ185" s="117">
        <v>99</v>
      </c>
      <c r="AK185" s="118" t="s">
        <v>832</v>
      </c>
      <c r="AL185" s="122">
        <v>118484</v>
      </c>
      <c r="AM185" s="122">
        <v>45747</v>
      </c>
      <c r="AN185" s="119" t="s">
        <v>689</v>
      </c>
      <c r="AO185" s="120" t="s">
        <v>833</v>
      </c>
    </row>
    <row r="186" spans="36:41" ht="15.75" customHeight="1" x14ac:dyDescent="0.25">
      <c r="AJ186" s="117">
        <v>100</v>
      </c>
      <c r="AK186" s="118" t="s">
        <v>817</v>
      </c>
      <c r="AL186" s="122">
        <v>120540</v>
      </c>
      <c r="AM186" s="122">
        <v>46541</v>
      </c>
      <c r="AN186" s="119" t="s">
        <v>682</v>
      </c>
      <c r="AO186" s="120" t="s">
        <v>834</v>
      </c>
    </row>
    <row r="187" spans="36:41" ht="15.75" customHeight="1" x14ac:dyDescent="0.2"/>
    <row r="188" spans="36:41" ht="15.75" customHeight="1" x14ac:dyDescent="0.2"/>
    <row r="189" spans="36:41" ht="15.75" customHeight="1" x14ac:dyDescent="0.2"/>
    <row r="190" spans="36:41" ht="15.75" customHeight="1" x14ac:dyDescent="0.2"/>
    <row r="191" spans="36:41" ht="15.75" customHeight="1" x14ac:dyDescent="0.2"/>
    <row r="192" spans="36:41"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sheetData>
  <pageMargins left="0.75" right="0.75" top="1" bottom="1" header="0" footer="0"/>
  <pageSetup paperSize="9"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000"/>
  <sheetViews>
    <sheetView zoomScale="150" zoomScaleNormal="150" zoomScalePageLayoutView="150" workbookViewId="0">
      <selection activeCell="L16" sqref="L16"/>
    </sheetView>
  </sheetViews>
  <sheetFormatPr baseColWidth="10" defaultColWidth="11.1640625" defaultRowHeight="15" customHeight="1" x14ac:dyDescent="0.2"/>
  <cols>
    <col min="1" max="1" width="6.5" customWidth="1"/>
    <col min="2" max="2" width="39.33203125" customWidth="1"/>
    <col min="3" max="26" width="10.5" customWidth="1"/>
  </cols>
  <sheetData>
    <row r="1" spans="1:256" ht="15" customHeight="1" x14ac:dyDescent="0.2">
      <c r="C1" t="s">
        <v>365</v>
      </c>
    </row>
    <row r="3" spans="1:256" ht="16" x14ac:dyDescent="0.2">
      <c r="B3" t="s">
        <v>145</v>
      </c>
      <c r="C3">
        <v>1.9</v>
      </c>
    </row>
    <row r="5" spans="1:256" ht="16" x14ac:dyDescent="0.2">
      <c r="B5" t="s">
        <v>146</v>
      </c>
      <c r="C5">
        <v>62</v>
      </c>
    </row>
    <row r="7" spans="1:256" ht="16" x14ac:dyDescent="0.2">
      <c r="B7" t="s">
        <v>147</v>
      </c>
      <c r="C7">
        <f>(C3*C5)/100</f>
        <v>1.1779999999999999</v>
      </c>
    </row>
    <row r="9" spans="1:256" ht="16" x14ac:dyDescent="0.2">
      <c r="B9" t="s">
        <v>97</v>
      </c>
      <c r="C9">
        <v>27.53</v>
      </c>
    </row>
    <row r="10" spans="1:256" ht="16" x14ac:dyDescent="0.2">
      <c r="B10" t="s">
        <v>98</v>
      </c>
      <c r="C10" s="22">
        <f>OECD!C7</f>
        <v>7.4999999999999997E-2</v>
      </c>
    </row>
    <row r="12" spans="1:256" ht="16" x14ac:dyDescent="0.2">
      <c r="B12" t="s">
        <v>104</v>
      </c>
      <c r="C12" s="6">
        <f>C10/C7</f>
        <v>6.3667232597623094E-2</v>
      </c>
    </row>
    <row r="14" spans="1:256" s="67" customFormat="1" ht="20" customHeight="1" x14ac:dyDescent="0.25">
      <c r="A14" s="73"/>
      <c r="B14" s="72" t="s">
        <v>387</v>
      </c>
      <c r="C14" s="73"/>
      <c r="D14" s="73"/>
      <c r="E14" s="73"/>
      <c r="F14" s="73"/>
      <c r="G14" s="73"/>
      <c r="H14" s="73"/>
      <c r="I14" s="73"/>
      <c r="J14" s="73"/>
      <c r="K14" s="73"/>
      <c r="L14" s="73"/>
      <c r="M14" s="73"/>
      <c r="N14" s="73"/>
      <c r="O14" s="73"/>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c r="IM14" s="76"/>
      <c r="IN14" s="76"/>
      <c r="IO14" s="76"/>
      <c r="IP14" s="76"/>
      <c r="IQ14" s="76"/>
      <c r="IR14" s="76"/>
      <c r="IS14" s="76"/>
      <c r="IT14" s="76"/>
      <c r="IU14" s="76"/>
      <c r="IV14" s="76"/>
    </row>
    <row r="15" spans="1:256" s="67" customFormat="1" ht="157" customHeight="1" x14ac:dyDescent="0.2">
      <c r="A15" s="81"/>
      <c r="B15" s="82" t="s">
        <v>537</v>
      </c>
      <c r="C15" s="82" t="s">
        <v>538</v>
      </c>
      <c r="D15" s="82" t="s">
        <v>539</v>
      </c>
      <c r="E15" s="82" t="s">
        <v>540</v>
      </c>
      <c r="F15" s="82" t="s">
        <v>541</v>
      </c>
      <c r="G15" s="82" t="s">
        <v>542</v>
      </c>
      <c r="H15" s="82" t="s">
        <v>543</v>
      </c>
      <c r="I15" s="82" t="s">
        <v>544</v>
      </c>
      <c r="J15" s="82" t="s">
        <v>545</v>
      </c>
      <c r="K15" s="82" t="s">
        <v>546</v>
      </c>
      <c r="L15" s="82" t="s">
        <v>547</v>
      </c>
      <c r="M15" s="82" t="s">
        <v>548</v>
      </c>
      <c r="N15" s="81"/>
      <c r="O15" s="81"/>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c r="IM15" s="76"/>
      <c r="IN15" s="76"/>
      <c r="IO15" s="76"/>
      <c r="IP15" s="76"/>
      <c r="IQ15" s="76"/>
      <c r="IR15" s="76"/>
      <c r="IS15" s="76"/>
      <c r="IT15" s="76"/>
      <c r="IU15" s="76"/>
      <c r="IV15" s="76"/>
    </row>
    <row r="16" spans="1:256" s="67" customFormat="1" ht="17" customHeight="1" x14ac:dyDescent="0.2">
      <c r="A16" s="81"/>
      <c r="B16" s="83">
        <v>13</v>
      </c>
      <c r="C16" s="83">
        <v>216.66666670000001</v>
      </c>
      <c r="D16" s="83">
        <v>0.60861423219999999</v>
      </c>
      <c r="E16" s="83">
        <v>36.516853930000003</v>
      </c>
      <c r="F16" s="83">
        <v>260</v>
      </c>
      <c r="G16" s="83">
        <v>83.333333330000002</v>
      </c>
      <c r="H16" s="83">
        <v>1.2</v>
      </c>
      <c r="I16" s="83">
        <v>66.083333330000002</v>
      </c>
      <c r="J16" s="83">
        <v>132.16666670000001</v>
      </c>
      <c r="K16" s="83">
        <v>1.6666666670000001</v>
      </c>
      <c r="L16" s="84">
        <v>4.5620854199999996E-3</v>
      </c>
      <c r="M16" s="83">
        <f>C12+L16</f>
        <v>6.8229318017623095E-2</v>
      </c>
      <c r="N16" s="81"/>
      <c r="O16" s="81"/>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c r="IM16" s="76"/>
      <c r="IN16" s="76"/>
      <c r="IO16" s="76"/>
      <c r="IP16" s="76"/>
      <c r="IQ16" s="76"/>
      <c r="IR16" s="76"/>
      <c r="IS16" s="76"/>
      <c r="IT16" s="76"/>
      <c r="IU16" s="76"/>
      <c r="IV16" s="76"/>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5" right="0.75" top="1" bottom="1" header="0" footer="0"/>
  <pageSetup paperSize="9"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000"/>
  <sheetViews>
    <sheetView zoomScale="200" zoomScaleNormal="200" zoomScalePageLayoutView="200" workbookViewId="0">
      <selection activeCell="H13" sqref="H13"/>
    </sheetView>
  </sheetViews>
  <sheetFormatPr baseColWidth="10" defaultColWidth="11.1640625" defaultRowHeight="15" customHeight="1" x14ac:dyDescent="0.2"/>
  <cols>
    <col min="1" max="1" width="10.5" customWidth="1"/>
    <col min="2" max="2" width="12.1640625" customWidth="1"/>
    <col min="3" max="3" width="10.5" customWidth="1"/>
    <col min="4" max="4" width="11.1640625" customWidth="1"/>
    <col min="5" max="5" width="12.1640625" customWidth="1"/>
    <col min="6" max="7" width="10.5" customWidth="1"/>
    <col min="8" max="8" width="19.33203125" customWidth="1"/>
    <col min="9" max="26" width="10.5" customWidth="1"/>
  </cols>
  <sheetData>
    <row r="1" spans="1:8" ht="16" x14ac:dyDescent="0.2">
      <c r="A1" t="s">
        <v>190</v>
      </c>
      <c r="D1" t="s">
        <v>191</v>
      </c>
    </row>
    <row r="2" spans="1:8" ht="16" x14ac:dyDescent="0.2">
      <c r="B2" t="s">
        <v>193</v>
      </c>
      <c r="C2" t="s">
        <v>194</v>
      </c>
    </row>
    <row r="4" spans="1:8" ht="16" x14ac:dyDescent="0.2">
      <c r="A4" t="s">
        <v>195</v>
      </c>
      <c r="B4">
        <v>970</v>
      </c>
      <c r="C4">
        <v>2700</v>
      </c>
      <c r="D4">
        <f>(B4+C4)/2</f>
        <v>1835</v>
      </c>
    </row>
    <row r="5" spans="1:8" ht="16" x14ac:dyDescent="0.2">
      <c r="A5" t="s">
        <v>217</v>
      </c>
      <c r="B5">
        <v>37</v>
      </c>
      <c r="C5">
        <v>120</v>
      </c>
      <c r="D5">
        <f t="shared" ref="D5" si="0">(B5+C5)/2</f>
        <v>78.5</v>
      </c>
    </row>
    <row r="6" spans="1:8" ht="16" x14ac:dyDescent="0.2">
      <c r="A6" t="s">
        <v>218</v>
      </c>
      <c r="B6">
        <v>170</v>
      </c>
      <c r="C6">
        <v>400</v>
      </c>
      <c r="D6">
        <f>(B6+C6)/2</f>
        <v>285</v>
      </c>
    </row>
    <row r="7" spans="1:8" ht="15" customHeight="1" x14ac:dyDescent="0.2">
      <c r="D7" t="s">
        <v>623</v>
      </c>
      <c r="E7" t="s">
        <v>625</v>
      </c>
    </row>
    <row r="8" spans="1:8" ht="16" x14ac:dyDescent="0.2">
      <c r="A8" t="s">
        <v>5</v>
      </c>
      <c r="D8">
        <f>D6+D5+D4</f>
        <v>2198.5</v>
      </c>
      <c r="E8">
        <f>D8*1000000000</f>
        <v>2198500000000</v>
      </c>
    </row>
    <row r="9" spans="1:8" ht="15" customHeight="1" x14ac:dyDescent="0.2">
      <c r="H9" t="s">
        <v>653</v>
      </c>
    </row>
    <row r="10" spans="1:8" ht="16" x14ac:dyDescent="0.2">
      <c r="A10" t="s">
        <v>221</v>
      </c>
    </row>
    <row r="11" spans="1:8" ht="16" x14ac:dyDescent="0.2">
      <c r="B11" t="s">
        <v>222</v>
      </c>
      <c r="C11" t="s">
        <v>223</v>
      </c>
      <c r="D11" t="s">
        <v>224</v>
      </c>
      <c r="F11" t="s">
        <v>636</v>
      </c>
      <c r="G11" t="s">
        <v>652</v>
      </c>
    </row>
    <row r="12" spans="1:8" ht="16" x14ac:dyDescent="0.2">
      <c r="B12">
        <v>158</v>
      </c>
      <c r="C12">
        <f>B12/1000</f>
        <v>0.158</v>
      </c>
      <c r="D12">
        <f>C12*1000</f>
        <v>158</v>
      </c>
      <c r="F12" t="s">
        <v>651</v>
      </c>
    </row>
    <row r="13" spans="1:8" ht="15" customHeight="1" x14ac:dyDescent="0.2">
      <c r="F13">
        <v>5.4</v>
      </c>
      <c r="G13">
        <f>B12*1000000</f>
        <v>158000000</v>
      </c>
      <c r="H13" s="113">
        <f>F13/G13</f>
        <v>3.4177215189873421E-8</v>
      </c>
    </row>
    <row r="14" spans="1:8" ht="16" x14ac:dyDescent="0.2">
      <c r="A14" t="s">
        <v>228</v>
      </c>
    </row>
    <row r="15" spans="1:8" ht="16" x14ac:dyDescent="0.2">
      <c r="B15" t="s">
        <v>229</v>
      </c>
      <c r="C15" t="s">
        <v>230</v>
      </c>
    </row>
    <row r="16" spans="1:8" ht="16" x14ac:dyDescent="0.2">
      <c r="B16">
        <f>D12/D8</f>
        <v>7.1867182169661134E-2</v>
      </c>
      <c r="C16">
        <f>B16*1000</f>
        <v>71.867182169661135</v>
      </c>
    </row>
    <row r="19" spans="1:6" ht="16" x14ac:dyDescent="0.2">
      <c r="A19" t="s">
        <v>234</v>
      </c>
    </row>
    <row r="20" spans="1:6" ht="16" x14ac:dyDescent="0.2">
      <c r="F20" t="s">
        <v>235</v>
      </c>
    </row>
    <row r="21" spans="1:6" ht="15.75" customHeight="1" x14ac:dyDescent="0.2">
      <c r="B21" t="s">
        <v>236</v>
      </c>
      <c r="C21" t="s">
        <v>236</v>
      </c>
      <c r="D21" t="s">
        <v>237</v>
      </c>
      <c r="E21" t="s">
        <v>238</v>
      </c>
    </row>
    <row r="22" spans="1:6" ht="15.75" customHeight="1" x14ac:dyDescent="0.2">
      <c r="B22" t="s">
        <v>222</v>
      </c>
      <c r="C22" t="s">
        <v>239</v>
      </c>
      <c r="E22" t="s">
        <v>209</v>
      </c>
    </row>
    <row r="23" spans="1:6" ht="15.75" customHeight="1" x14ac:dyDescent="0.2"/>
    <row r="24" spans="1:6" ht="15.75" customHeight="1" x14ac:dyDescent="0.2">
      <c r="B24">
        <v>136.19999999999999</v>
      </c>
      <c r="C24">
        <f>B24*1000*1000000</f>
        <v>136200000000</v>
      </c>
      <c r="D24">
        <v>7100000000</v>
      </c>
      <c r="E24">
        <f>C24/D24</f>
        <v>19.183098591549296</v>
      </c>
    </row>
    <row r="25" spans="1:6" ht="15.75" customHeight="1" x14ac:dyDescent="0.2"/>
    <row r="26" spans="1:6" ht="15.75" customHeight="1" x14ac:dyDescent="0.2">
      <c r="A26" t="s">
        <v>243</v>
      </c>
    </row>
    <row r="27" spans="1:6" ht="15.75" customHeight="1" x14ac:dyDescent="0.2"/>
    <row r="28" spans="1:6" ht="15.75" customHeight="1" x14ac:dyDescent="0.2">
      <c r="B28" t="s">
        <v>244</v>
      </c>
    </row>
    <row r="29" spans="1:6" ht="15.75" customHeight="1" x14ac:dyDescent="0.2">
      <c r="B29" t="s">
        <v>245</v>
      </c>
      <c r="C29" t="s">
        <v>117</v>
      </c>
    </row>
    <row r="30" spans="1:6" ht="15.75" customHeight="1" x14ac:dyDescent="0.2"/>
    <row r="31" spans="1:6" ht="15.75" customHeight="1" x14ac:dyDescent="0.2">
      <c r="B31">
        <v>27.4</v>
      </c>
      <c r="C31">
        <f>B31/365.33</f>
        <v>7.5000684312813079E-2</v>
      </c>
    </row>
    <row r="32" spans="1:6" ht="15.75" customHeight="1" x14ac:dyDescent="0.2"/>
    <row r="33" spans="1:3" ht="15.75" customHeight="1" x14ac:dyDescent="0.2">
      <c r="A33" t="s">
        <v>250</v>
      </c>
    </row>
    <row r="34" spans="1:3" ht="15.75" customHeight="1" x14ac:dyDescent="0.2"/>
    <row r="35" spans="1:3" ht="15.75" customHeight="1" x14ac:dyDescent="0.2">
      <c r="B35" s="6">
        <f>C31/B16</f>
        <v>1.0436012940615162</v>
      </c>
    </row>
    <row r="36" spans="1:3" ht="15.75" customHeight="1" x14ac:dyDescent="0.2"/>
    <row r="37" spans="1:3" ht="15.75" customHeight="1" x14ac:dyDescent="0.2">
      <c r="A37" t="s">
        <v>647</v>
      </c>
    </row>
    <row r="38" spans="1:3" ht="15.75" customHeight="1" x14ac:dyDescent="0.2">
      <c r="A38" t="s">
        <v>648</v>
      </c>
    </row>
    <row r="39" spans="1:3" ht="15.75" customHeight="1" x14ac:dyDescent="0.2">
      <c r="B39" t="s">
        <v>649</v>
      </c>
    </row>
    <row r="40" spans="1:3" ht="15.75" customHeight="1" x14ac:dyDescent="0.2">
      <c r="A40" s="62">
        <v>0.112</v>
      </c>
      <c r="B40" s="112">
        <v>0.5</v>
      </c>
      <c r="C40">
        <v>2</v>
      </c>
    </row>
    <row r="41" spans="1:3" ht="15.75" customHeight="1" x14ac:dyDescent="0.2">
      <c r="C41" t="s">
        <v>650</v>
      </c>
    </row>
    <row r="42" spans="1:3" ht="15.75" customHeight="1" x14ac:dyDescent="0.2"/>
    <row r="43" spans="1:3" ht="15.75" customHeight="1" x14ac:dyDescent="0.2"/>
    <row r="44" spans="1:3" ht="15.75" customHeight="1" x14ac:dyDescent="0.2"/>
    <row r="45" spans="1:3" ht="15.75" customHeight="1" x14ac:dyDescent="0.2"/>
    <row r="46" spans="1:3" ht="15.75" customHeight="1" x14ac:dyDescent="0.2"/>
    <row r="47" spans="1:3" ht="15.75" customHeight="1" x14ac:dyDescent="0.2"/>
    <row r="48" spans="1:3"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5" right="0.75" top="1" bottom="1" header="0" footer="0"/>
  <pageSetup paperSize="9"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1024"/>
  <sheetViews>
    <sheetView topLeftCell="A79" zoomScale="200" zoomScaleNormal="200" zoomScalePageLayoutView="200" workbookViewId="0">
      <selection activeCell="B85" sqref="B85"/>
    </sheetView>
  </sheetViews>
  <sheetFormatPr baseColWidth="10" defaultColWidth="11.1640625" defaultRowHeight="15" customHeight="1" x14ac:dyDescent="0.2"/>
  <cols>
    <col min="1" max="1" width="9.83203125" customWidth="1"/>
    <col min="2" max="2" width="10.5" customWidth="1"/>
    <col min="3" max="3" width="10.83203125" customWidth="1"/>
    <col min="4" max="4" width="17.1640625" customWidth="1"/>
    <col min="5" max="5" width="12.1640625" customWidth="1"/>
    <col min="6" max="6" width="17.1640625" customWidth="1"/>
    <col min="7" max="8" width="22" customWidth="1"/>
    <col min="9" max="10" width="18.33203125" customWidth="1"/>
    <col min="11" max="12" width="25" customWidth="1"/>
    <col min="13" max="13" width="6.33203125" customWidth="1"/>
    <col min="14" max="15" width="11.6640625" customWidth="1"/>
    <col min="16" max="16" width="8.6640625" customWidth="1"/>
    <col min="17" max="17" width="20.5" customWidth="1"/>
    <col min="18" max="21" width="10.5" customWidth="1"/>
    <col min="22" max="24" width="17.83203125" customWidth="1"/>
    <col min="25" max="34" width="10.5" customWidth="1"/>
  </cols>
  <sheetData>
    <row r="1" spans="1:26" ht="16" x14ac:dyDescent="0.2">
      <c r="A1" t="s">
        <v>189</v>
      </c>
      <c r="B1" s="87" t="s">
        <v>574</v>
      </c>
      <c r="C1" s="87"/>
    </row>
    <row r="2" spans="1:26" ht="16" x14ac:dyDescent="0.2">
      <c r="D2" t="s">
        <v>192</v>
      </c>
      <c r="G2" t="s">
        <v>192</v>
      </c>
      <c r="H2" t="s">
        <v>565</v>
      </c>
      <c r="Q2" s="60" t="s">
        <v>196</v>
      </c>
    </row>
    <row r="3" spans="1:26" ht="16" x14ac:dyDescent="0.2">
      <c r="A3" t="s">
        <v>197</v>
      </c>
    </row>
    <row r="4" spans="1:26" ht="16" x14ac:dyDescent="0.2">
      <c r="A4" t="s">
        <v>198</v>
      </c>
      <c r="D4" t="s">
        <v>199</v>
      </c>
      <c r="G4" t="s">
        <v>200</v>
      </c>
      <c r="H4" t="s">
        <v>566</v>
      </c>
      <c r="I4" t="s">
        <v>201</v>
      </c>
      <c r="K4" t="s">
        <v>201</v>
      </c>
      <c r="Q4" t="s">
        <v>202</v>
      </c>
      <c r="R4" t="s">
        <v>203</v>
      </c>
      <c r="T4" t="s">
        <v>200</v>
      </c>
      <c r="V4" t="s">
        <v>204</v>
      </c>
    </row>
    <row r="5" spans="1:26" ht="16" x14ac:dyDescent="0.2">
      <c r="A5" t="s">
        <v>205</v>
      </c>
      <c r="D5" t="s">
        <v>206</v>
      </c>
      <c r="G5" t="s">
        <v>207</v>
      </c>
      <c r="H5" t="s">
        <v>567</v>
      </c>
      <c r="I5" t="s">
        <v>208</v>
      </c>
      <c r="K5" t="s">
        <v>208</v>
      </c>
      <c r="Q5" t="s">
        <v>209</v>
      </c>
      <c r="S5" t="s">
        <v>210</v>
      </c>
      <c r="T5" t="s">
        <v>211</v>
      </c>
    </row>
    <row r="6" spans="1:26" ht="16" x14ac:dyDescent="0.2">
      <c r="A6" t="s">
        <v>212</v>
      </c>
      <c r="D6" t="s">
        <v>213</v>
      </c>
      <c r="G6" t="s">
        <v>213</v>
      </c>
      <c r="I6" t="s">
        <v>213</v>
      </c>
      <c r="K6" t="s">
        <v>61</v>
      </c>
      <c r="Q6" t="s">
        <v>61</v>
      </c>
      <c r="R6" t="s">
        <v>214</v>
      </c>
      <c r="T6" t="s">
        <v>215</v>
      </c>
      <c r="V6" t="s">
        <v>216</v>
      </c>
      <c r="Y6" t="s">
        <v>214</v>
      </c>
    </row>
    <row r="8" spans="1:26" ht="16" x14ac:dyDescent="0.2">
      <c r="A8">
        <v>10.398</v>
      </c>
      <c r="D8">
        <v>3.36</v>
      </c>
      <c r="G8">
        <v>1.45</v>
      </c>
      <c r="H8">
        <v>0.33</v>
      </c>
      <c r="I8">
        <f>D8+(G8*H8)</f>
        <v>3.8384999999999998</v>
      </c>
      <c r="K8" s="17">
        <f>I8*1000000000</f>
        <v>3838500000</v>
      </c>
      <c r="L8" s="17"/>
      <c r="N8" s="17"/>
      <c r="O8" s="17"/>
      <c r="P8" s="17"/>
      <c r="Q8" s="17">
        <v>18500000</v>
      </c>
      <c r="R8" s="89">
        <f>Q8*0.74</f>
        <v>13690000</v>
      </c>
      <c r="S8" s="14">
        <f>R8/K8</f>
        <v>3.5664973296860754E-3</v>
      </c>
      <c r="T8">
        <f>A8*S8</f>
        <v>3.7084439234075811E-2</v>
      </c>
      <c r="V8">
        <f>T8*7200000000*365</f>
        <v>97457906307.15123</v>
      </c>
      <c r="Y8" s="89">
        <f>V8/10000</f>
        <v>9745790.6307151224</v>
      </c>
      <c r="Z8" s="21" t="s">
        <v>246</v>
      </c>
    </row>
    <row r="9" spans="1:26" ht="16" x14ac:dyDescent="0.2">
      <c r="K9" s="17"/>
      <c r="L9" s="17"/>
      <c r="N9" s="17"/>
      <c r="O9" s="17"/>
      <c r="P9" s="17"/>
      <c r="Q9" s="17"/>
      <c r="R9" s="89"/>
      <c r="S9" s="14"/>
      <c r="Y9" s="89"/>
      <c r="Z9" s="21"/>
    </row>
    <row r="10" spans="1:26" ht="16" x14ac:dyDescent="0.2">
      <c r="K10" s="17"/>
      <c r="L10" s="17"/>
      <c r="N10" s="17"/>
      <c r="O10" s="17"/>
      <c r="P10" s="17"/>
      <c r="Q10" s="17"/>
      <c r="R10" s="89"/>
      <c r="S10" s="14"/>
      <c r="Y10" s="89"/>
      <c r="Z10" s="21"/>
    </row>
    <row r="11" spans="1:26" ht="16" x14ac:dyDescent="0.2">
      <c r="A11" s="87" t="s">
        <v>575</v>
      </c>
      <c r="B11" t="s">
        <v>568</v>
      </c>
      <c r="D11" t="s">
        <v>571</v>
      </c>
      <c r="K11" s="17"/>
      <c r="L11" s="17"/>
      <c r="N11" s="17"/>
      <c r="O11" s="17"/>
      <c r="P11" s="17"/>
      <c r="Q11" s="17"/>
      <c r="R11" s="89"/>
      <c r="S11" s="14"/>
      <c r="Y11" s="89"/>
      <c r="Z11" s="21"/>
    </row>
    <row r="12" spans="1:26" ht="16" x14ac:dyDescent="0.2">
      <c r="B12" t="s">
        <v>570</v>
      </c>
      <c r="G12" t="s">
        <v>572</v>
      </c>
      <c r="H12" t="s">
        <v>572</v>
      </c>
      <c r="K12" s="17"/>
      <c r="L12" s="17"/>
      <c r="N12" s="17"/>
      <c r="O12" s="17"/>
      <c r="P12" s="17"/>
      <c r="Q12" s="17"/>
      <c r="R12" s="89"/>
      <c r="S12" s="14"/>
      <c r="Y12" s="89"/>
      <c r="Z12" s="21"/>
    </row>
    <row r="13" spans="1:26" ht="16" x14ac:dyDescent="0.2">
      <c r="D13" t="s">
        <v>565</v>
      </c>
      <c r="K13" s="17"/>
      <c r="L13" s="17"/>
      <c r="N13" s="17"/>
      <c r="O13" s="17"/>
      <c r="P13" s="17"/>
      <c r="Q13" s="17"/>
      <c r="R13" s="89"/>
      <c r="S13" s="14"/>
      <c r="Y13" s="89"/>
      <c r="Z13" s="21"/>
    </row>
    <row r="14" spans="1:26" ht="16" x14ac:dyDescent="0.2">
      <c r="D14" t="s">
        <v>573</v>
      </c>
      <c r="K14" s="17"/>
      <c r="L14" s="17"/>
      <c r="N14" s="17"/>
      <c r="O14" s="17"/>
      <c r="P14" s="17"/>
      <c r="Q14" s="17"/>
      <c r="R14" s="89"/>
      <c r="S14" s="14"/>
      <c r="Y14" s="89"/>
      <c r="Z14" s="21"/>
    </row>
    <row r="15" spans="1:26" ht="16" x14ac:dyDescent="0.2">
      <c r="B15" t="s">
        <v>569</v>
      </c>
      <c r="D15" t="s">
        <v>569</v>
      </c>
      <c r="G15" t="s">
        <v>569</v>
      </c>
      <c r="H15" t="s">
        <v>213</v>
      </c>
      <c r="K15" s="17"/>
      <c r="L15" s="17"/>
      <c r="N15" s="17"/>
      <c r="O15" s="17"/>
      <c r="P15" s="17"/>
      <c r="Q15" s="17"/>
      <c r="R15" s="89"/>
      <c r="S15" s="14"/>
      <c r="Y15" s="89"/>
      <c r="Z15" s="21"/>
    </row>
    <row r="16" spans="1:26" ht="15" customHeight="1" x14ac:dyDescent="0.2">
      <c r="B16">
        <v>131</v>
      </c>
      <c r="D16" s="62">
        <v>0.26</v>
      </c>
      <c r="E16" s="62"/>
      <c r="F16" s="62"/>
      <c r="G16">
        <f>B16*D16</f>
        <v>34.06</v>
      </c>
      <c r="H16">
        <f>G16*100/1000</f>
        <v>3.4060000000000001</v>
      </c>
      <c r="Q16" s="61">
        <f>U29*1000000</f>
        <v>22450000</v>
      </c>
      <c r="R16" s="89">
        <f>Q16*0.74</f>
        <v>16613000</v>
      </c>
      <c r="S16" s="62">
        <f>R16/K8</f>
        <v>4.3279927054839127E-3</v>
      </c>
      <c r="Y16" s="67"/>
    </row>
    <row r="17" spans="1:30" ht="15" customHeight="1" x14ac:dyDescent="0.2">
      <c r="D17" s="62"/>
      <c r="E17" s="62"/>
      <c r="F17" s="62"/>
      <c r="Q17" s="61"/>
      <c r="R17" s="89"/>
      <c r="S17" s="62"/>
    </row>
    <row r="18" spans="1:30" ht="15" customHeight="1" x14ac:dyDescent="0.2">
      <c r="A18" s="87" t="s">
        <v>576</v>
      </c>
      <c r="D18" s="62"/>
      <c r="E18" s="62"/>
      <c r="F18" s="62"/>
      <c r="Q18" s="61"/>
      <c r="R18" s="89"/>
      <c r="S18" s="62"/>
    </row>
    <row r="19" spans="1:30" ht="15" customHeight="1" x14ac:dyDescent="0.2">
      <c r="B19" t="s">
        <v>577</v>
      </c>
      <c r="D19" s="62"/>
      <c r="E19" s="62"/>
      <c r="F19" s="62"/>
      <c r="Q19" s="61"/>
      <c r="R19" s="89"/>
      <c r="S19" s="62"/>
    </row>
    <row r="20" spans="1:30" ht="15" customHeight="1" x14ac:dyDescent="0.2">
      <c r="B20" t="s">
        <v>578</v>
      </c>
      <c r="D20" s="62"/>
      <c r="E20" s="62"/>
      <c r="F20" s="62"/>
      <c r="Q20" s="61"/>
      <c r="R20" s="89"/>
      <c r="S20" s="62"/>
    </row>
    <row r="21" spans="1:30" ht="15" customHeight="1" x14ac:dyDescent="0.2">
      <c r="B21" t="s">
        <v>569</v>
      </c>
      <c r="D21" s="62" t="s">
        <v>579</v>
      </c>
      <c r="E21" s="62"/>
      <c r="F21" s="62"/>
      <c r="Q21" s="61"/>
      <c r="R21" s="89"/>
      <c r="S21" s="62"/>
    </row>
    <row r="22" spans="1:30" ht="15" customHeight="1" x14ac:dyDescent="0.2">
      <c r="B22">
        <v>35</v>
      </c>
      <c r="D22" s="61">
        <f>B22*100</f>
        <v>3500</v>
      </c>
      <c r="E22" s="61"/>
      <c r="F22" s="61"/>
      <c r="Q22" s="61"/>
      <c r="R22" s="89"/>
      <c r="S22" s="62"/>
    </row>
    <row r="23" spans="1:30" ht="15" customHeight="1" x14ac:dyDescent="0.2">
      <c r="D23" s="62"/>
      <c r="E23" s="62"/>
      <c r="F23" s="62"/>
      <c r="Q23" s="61"/>
      <c r="R23" s="89"/>
      <c r="S23" s="62"/>
    </row>
    <row r="24" spans="1:30" ht="15" customHeight="1" x14ac:dyDescent="0.2">
      <c r="D24" s="62"/>
      <c r="E24" s="62"/>
      <c r="F24" s="62"/>
      <c r="Q24" s="61"/>
      <c r="R24" s="89"/>
      <c r="S24" s="62"/>
    </row>
    <row r="25" spans="1:30" ht="15" customHeight="1" x14ac:dyDescent="0.2">
      <c r="D25" s="62"/>
      <c r="E25" s="62"/>
      <c r="F25" s="62"/>
      <c r="Q25" t="s">
        <v>509</v>
      </c>
      <c r="R25" s="89"/>
      <c r="S25" s="62"/>
      <c r="AA25">
        <v>2019</v>
      </c>
      <c r="AB25" t="s">
        <v>628</v>
      </c>
    </row>
    <row r="26" spans="1:30" ht="15" customHeight="1" x14ac:dyDescent="0.2">
      <c r="Q26" t="s">
        <v>507</v>
      </c>
      <c r="U26" t="s">
        <v>512</v>
      </c>
      <c r="V26" t="s">
        <v>580</v>
      </c>
      <c r="Y26" t="s">
        <v>581</v>
      </c>
      <c r="AA26" t="s">
        <v>627</v>
      </c>
      <c r="AD26" t="s">
        <v>664</v>
      </c>
    </row>
    <row r="27" spans="1:30" ht="15" customHeight="1" x14ac:dyDescent="0.2">
      <c r="P27" t="s">
        <v>508</v>
      </c>
      <c r="Q27" s="61">
        <v>16000000</v>
      </c>
      <c r="T27" s="60" t="s">
        <v>513</v>
      </c>
      <c r="AC27" t="s">
        <v>663</v>
      </c>
      <c r="AD27" t="s">
        <v>665</v>
      </c>
    </row>
    <row r="28" spans="1:30" ht="16" x14ac:dyDescent="0.2">
      <c r="A28" t="s">
        <v>247</v>
      </c>
      <c r="G28" t="s">
        <v>248</v>
      </c>
      <c r="I28" t="s">
        <v>249</v>
      </c>
      <c r="R28" t="s">
        <v>510</v>
      </c>
      <c r="T28" t="s">
        <v>511</v>
      </c>
      <c r="U28" t="s">
        <v>579</v>
      </c>
      <c r="V28" t="s">
        <v>579</v>
      </c>
      <c r="W28" t="s">
        <v>302</v>
      </c>
      <c r="X28" t="s">
        <v>876</v>
      </c>
      <c r="Z28" t="s">
        <v>61</v>
      </c>
    </row>
    <row r="29" spans="1:30" ht="16" x14ac:dyDescent="0.2">
      <c r="D29" t="s">
        <v>215</v>
      </c>
      <c r="G29" t="s">
        <v>251</v>
      </c>
      <c r="I29" t="s">
        <v>252</v>
      </c>
      <c r="S29">
        <v>2011</v>
      </c>
      <c r="T29">
        <v>17</v>
      </c>
      <c r="U29">
        <f>SUM(T29:T34)/6</f>
        <v>22.45</v>
      </c>
      <c r="W29">
        <f>U29*1000000/100</f>
        <v>224500</v>
      </c>
    </row>
    <row r="30" spans="1:30" ht="16" x14ac:dyDescent="0.2">
      <c r="D30" s="21">
        <v>10.398</v>
      </c>
      <c r="E30" s="21"/>
      <c r="F30" s="21"/>
      <c r="G30">
        <f>10000/D30</f>
        <v>961.72340834775923</v>
      </c>
      <c r="I30">
        <f>1000000/D30</f>
        <v>96172.340834775925</v>
      </c>
      <c r="S30">
        <v>2012</v>
      </c>
      <c r="T30">
        <v>24</v>
      </c>
    </row>
    <row r="31" spans="1:30" ht="15" customHeight="1" x14ac:dyDescent="0.2">
      <c r="S31">
        <v>2013</v>
      </c>
      <c r="T31">
        <v>20</v>
      </c>
    </row>
    <row r="32" spans="1:30" ht="15" customHeight="1" x14ac:dyDescent="0.2">
      <c r="S32">
        <v>2014</v>
      </c>
      <c r="T32">
        <v>24</v>
      </c>
    </row>
    <row r="33" spans="1:30" ht="15" customHeight="1" x14ac:dyDescent="0.2">
      <c r="S33">
        <v>2015</v>
      </c>
      <c r="T33">
        <v>20</v>
      </c>
    </row>
    <row r="34" spans="1:30" ht="16" x14ac:dyDescent="0.2">
      <c r="B34" t="s">
        <v>257</v>
      </c>
      <c r="D34" t="s">
        <v>258</v>
      </c>
      <c r="G34" t="s">
        <v>53</v>
      </c>
      <c r="S34">
        <v>2016</v>
      </c>
      <c r="T34">
        <v>29.7</v>
      </c>
      <c r="V34">
        <f>T34*0.74</f>
        <v>21.977999999999998</v>
      </c>
      <c r="W34" s="61">
        <f>V34*1000000/100</f>
        <v>219779.99999999997</v>
      </c>
      <c r="X34" s="61"/>
      <c r="Y34" s="88">
        <f>V34/D22</f>
        <v>6.2794285714285712E-3</v>
      </c>
      <c r="Z34" s="61">
        <f>V34*1000000</f>
        <v>21977999.999999996</v>
      </c>
      <c r="AA34">
        <v>22.4</v>
      </c>
      <c r="AB34" s="109">
        <f>AA34/Z34</f>
        <v>1.0192010192010192E-6</v>
      </c>
      <c r="AC34">
        <f>V34*1000000/365/24/60/60</f>
        <v>0.69691780821917793</v>
      </c>
      <c r="AD34">
        <f>AC34/'Summary sheet'!AR6</f>
        <v>0.97607536165150977</v>
      </c>
    </row>
    <row r="35" spans="1:30" ht="16" x14ac:dyDescent="0.2">
      <c r="D35" s="17">
        <f>100*100</f>
        <v>10000</v>
      </c>
      <c r="E35" s="17"/>
      <c r="F35" s="17"/>
      <c r="G35" s="17">
        <f>D35*100</f>
        <v>1000000</v>
      </c>
      <c r="H35" s="17"/>
    </row>
    <row r="37" spans="1:30" ht="15.75" customHeight="1" x14ac:dyDescent="0.2">
      <c r="G37" s="61" t="s">
        <v>261</v>
      </c>
    </row>
    <row r="38" spans="1:30" ht="15.75" customHeight="1" x14ac:dyDescent="0.2">
      <c r="A38" s="17"/>
      <c r="B38" s="17"/>
      <c r="C38" s="17"/>
      <c r="D38" s="17"/>
      <c r="E38" s="17"/>
      <c r="F38" s="17"/>
      <c r="G38" t="s">
        <v>264</v>
      </c>
      <c r="H38" t="s">
        <v>265</v>
      </c>
      <c r="I38" t="s">
        <v>264</v>
      </c>
      <c r="K38" t="s">
        <v>264</v>
      </c>
      <c r="L38" t="s">
        <v>266</v>
      </c>
      <c r="N38" t="s">
        <v>267</v>
      </c>
      <c r="P38" t="s">
        <v>268</v>
      </c>
      <c r="Q38" s="17"/>
      <c r="R38" s="17"/>
      <c r="S38" s="17"/>
      <c r="T38" s="17"/>
      <c r="U38" s="17" t="s">
        <v>269</v>
      </c>
      <c r="V38" s="26"/>
      <c r="W38" s="26"/>
      <c r="X38" s="26"/>
      <c r="Y38" s="26"/>
      <c r="Z38" s="16" t="s">
        <v>273</v>
      </c>
    </row>
    <row r="39" spans="1:30" ht="15.75" customHeight="1" x14ac:dyDescent="0.2">
      <c r="A39" s="17"/>
      <c r="B39" s="17"/>
      <c r="C39" s="17"/>
      <c r="D39" s="17" t="s">
        <v>117</v>
      </c>
      <c r="E39" s="17"/>
      <c r="F39" s="17"/>
      <c r="G39" t="s">
        <v>274</v>
      </c>
      <c r="I39" t="s">
        <v>274</v>
      </c>
      <c r="K39" t="s">
        <v>275</v>
      </c>
      <c r="L39" t="s">
        <v>276</v>
      </c>
      <c r="Q39" s="17" t="s">
        <v>264</v>
      </c>
      <c r="R39" s="17" t="s">
        <v>277</v>
      </c>
      <c r="S39" s="17" t="s">
        <v>215</v>
      </c>
      <c r="T39" s="17"/>
      <c r="U39" s="17" t="s">
        <v>117</v>
      </c>
      <c r="V39" s="17" t="s">
        <v>279</v>
      </c>
      <c r="W39" s="17"/>
      <c r="X39" s="17"/>
      <c r="Y39" s="17"/>
      <c r="Z39" s="17" t="s">
        <v>277</v>
      </c>
      <c r="AA39" s="17" t="s">
        <v>215</v>
      </c>
    </row>
    <row r="40" spans="1:30" ht="15.75" customHeight="1" x14ac:dyDescent="0.2">
      <c r="A40" s="17" t="s">
        <v>280</v>
      </c>
      <c r="B40" s="17"/>
      <c r="C40" s="17"/>
      <c r="D40" s="17"/>
      <c r="E40" s="17"/>
      <c r="F40" s="17"/>
      <c r="G40" t="s">
        <v>282</v>
      </c>
      <c r="I40" t="s">
        <v>283</v>
      </c>
      <c r="K40" t="s">
        <v>283</v>
      </c>
      <c r="Q40" s="17" t="s">
        <v>284</v>
      </c>
      <c r="R40" s="17" t="s">
        <v>285</v>
      </c>
      <c r="S40" s="17"/>
      <c r="T40" s="17"/>
      <c r="U40" s="17"/>
      <c r="V40" s="17" t="s">
        <v>286</v>
      </c>
      <c r="W40" s="17"/>
      <c r="X40" s="17"/>
      <c r="Y40" s="17"/>
      <c r="Z40" s="17" t="s">
        <v>285</v>
      </c>
      <c r="AA40" s="17"/>
    </row>
    <row r="41" spans="1:30" ht="15.75" customHeight="1" x14ac:dyDescent="0.2">
      <c r="A41" s="17"/>
      <c r="B41" s="17"/>
      <c r="C41" s="17"/>
      <c r="D41" s="17"/>
      <c r="E41" s="17"/>
      <c r="F41" s="17"/>
      <c r="Q41" s="17"/>
      <c r="R41" s="17"/>
      <c r="S41" s="17"/>
      <c r="T41" s="17"/>
      <c r="U41" s="17"/>
      <c r="V41" s="17"/>
      <c r="W41" s="17"/>
      <c r="X41" s="17"/>
      <c r="Y41" s="17"/>
      <c r="Z41" s="17"/>
      <c r="AA41" s="17"/>
    </row>
    <row r="42" spans="1:30" ht="15.75" customHeight="1" x14ac:dyDescent="0.2">
      <c r="A42" s="17"/>
      <c r="B42" s="17" t="s">
        <v>121</v>
      </c>
      <c r="C42" s="17"/>
      <c r="D42" s="18">
        <v>3.7999999999999999E-2</v>
      </c>
      <c r="E42" s="18"/>
      <c r="F42" s="18"/>
      <c r="G42">
        <v>3635</v>
      </c>
      <c r="H42">
        <v>242</v>
      </c>
      <c r="I42">
        <f t="shared" ref="I42:I45" si="0">G42-H42</f>
        <v>3393</v>
      </c>
      <c r="K42">
        <f>I42*12/365</f>
        <v>111.55068493150685</v>
      </c>
      <c r="L42">
        <f>D42*K42</f>
        <v>4.2389260273972607</v>
      </c>
      <c r="N42" s="17">
        <f>K42*400</f>
        <v>44620.273972602743</v>
      </c>
      <c r="O42" s="17"/>
      <c r="P42" s="17">
        <f>N42/10000</f>
        <v>4.4620273972602744</v>
      </c>
      <c r="Q42" s="28">
        <v>1.4E-2</v>
      </c>
      <c r="R42" s="29">
        <f t="shared" ref="R42:R45" si="1">D42*Q42</f>
        <v>5.3200000000000003E-4</v>
      </c>
      <c r="S42" s="30">
        <f t="shared" ref="S42:S45" si="2">R42*10000</f>
        <v>5.32</v>
      </c>
      <c r="T42" s="17"/>
      <c r="U42" s="18">
        <v>3.7999999999999999E-2</v>
      </c>
      <c r="V42" s="28">
        <v>250</v>
      </c>
      <c r="W42" s="28"/>
      <c r="X42" s="28"/>
      <c r="Y42" s="28"/>
      <c r="Z42" s="29">
        <f t="shared" ref="Z42:Z45" si="3">U42*V42</f>
        <v>9.5</v>
      </c>
      <c r="AA42" s="30">
        <f t="shared" ref="AA42:AA45" si="4">Z42</f>
        <v>9.5</v>
      </c>
    </row>
    <row r="43" spans="1:30" ht="15.75" customHeight="1" x14ac:dyDescent="0.2">
      <c r="A43" s="17"/>
      <c r="B43" s="17" t="s">
        <v>122</v>
      </c>
      <c r="C43" s="17"/>
      <c r="D43" s="18">
        <v>0.06</v>
      </c>
      <c r="E43" s="18"/>
      <c r="F43" s="18"/>
      <c r="G43">
        <v>290</v>
      </c>
      <c r="H43">
        <v>186</v>
      </c>
      <c r="I43">
        <f t="shared" si="0"/>
        <v>104</v>
      </c>
      <c r="K43">
        <f t="shared" ref="K43:K45" si="5">I43*12/365</f>
        <v>3.419178082191781</v>
      </c>
      <c r="L43">
        <f t="shared" ref="L43:L45" si="6">D43*K43</f>
        <v>0.20515068493150684</v>
      </c>
      <c r="N43" s="17"/>
      <c r="O43" s="17"/>
      <c r="P43" s="17"/>
      <c r="Q43" s="28">
        <v>4.1000000000000003E-3</v>
      </c>
      <c r="R43" s="29">
        <f t="shared" si="1"/>
        <v>2.4600000000000002E-4</v>
      </c>
      <c r="S43" s="30">
        <f t="shared" si="2"/>
        <v>2.46</v>
      </c>
      <c r="T43" s="17"/>
      <c r="U43" s="18">
        <v>0.06</v>
      </c>
      <c r="V43" s="28">
        <v>90</v>
      </c>
      <c r="W43" s="28"/>
      <c r="X43" s="28"/>
      <c r="Y43" s="28"/>
      <c r="Z43" s="29">
        <f t="shared" si="3"/>
        <v>5.3999999999999995</v>
      </c>
      <c r="AA43" s="30">
        <f t="shared" si="4"/>
        <v>5.3999999999999995</v>
      </c>
    </row>
    <row r="44" spans="1:30" ht="15.75" customHeight="1" x14ac:dyDescent="0.2">
      <c r="A44" s="17"/>
      <c r="B44" s="17" t="s">
        <v>89</v>
      </c>
      <c r="C44" s="17"/>
      <c r="D44" s="18">
        <v>7.4999999999999997E-2</v>
      </c>
      <c r="E44" s="18"/>
      <c r="F44" s="18"/>
      <c r="G44">
        <v>272</v>
      </c>
      <c r="H44">
        <v>149</v>
      </c>
      <c r="I44">
        <f t="shared" si="0"/>
        <v>123</v>
      </c>
      <c r="K44">
        <f t="shared" si="5"/>
        <v>4.043835616438356</v>
      </c>
      <c r="L44">
        <f t="shared" si="6"/>
        <v>0.3032876712328767</v>
      </c>
      <c r="N44" s="17"/>
      <c r="O44" s="17"/>
      <c r="P44" s="17"/>
      <c r="Q44" s="28">
        <v>2.8E-3</v>
      </c>
      <c r="R44" s="29">
        <f t="shared" si="1"/>
        <v>2.0999999999999998E-4</v>
      </c>
      <c r="S44" s="30">
        <f t="shared" si="2"/>
        <v>2.0999999999999996</v>
      </c>
      <c r="T44" s="17"/>
      <c r="U44" s="18">
        <v>7.4999999999999997E-2</v>
      </c>
      <c r="V44" s="28">
        <v>14</v>
      </c>
      <c r="W44" s="28"/>
      <c r="X44" s="28"/>
      <c r="Y44" s="28"/>
      <c r="Z44" s="29">
        <f t="shared" si="3"/>
        <v>1.05</v>
      </c>
      <c r="AA44" s="30">
        <f t="shared" si="4"/>
        <v>1.05</v>
      </c>
    </row>
    <row r="45" spans="1:30" ht="15.75" customHeight="1" x14ac:dyDescent="0.2">
      <c r="B45" s="31" t="s">
        <v>123</v>
      </c>
      <c r="C45" s="31"/>
      <c r="D45" s="18">
        <v>3.7000000000000002E-3</v>
      </c>
      <c r="E45" s="18"/>
      <c r="F45" s="18"/>
      <c r="G45" s="32">
        <v>2000</v>
      </c>
      <c r="H45" s="32">
        <v>242</v>
      </c>
      <c r="I45" s="21">
        <f t="shared" si="0"/>
        <v>1758</v>
      </c>
      <c r="J45" s="21"/>
      <c r="K45">
        <f t="shared" si="5"/>
        <v>57.797260273972604</v>
      </c>
      <c r="L45">
        <f t="shared" si="6"/>
        <v>0.21384986301369865</v>
      </c>
      <c r="N45" s="17"/>
      <c r="O45" s="17"/>
      <c r="P45" s="17"/>
      <c r="Q45" s="28">
        <v>1.4E-2</v>
      </c>
      <c r="R45" s="29">
        <f t="shared" si="1"/>
        <v>5.1800000000000005E-5</v>
      </c>
      <c r="S45" s="30">
        <f t="shared" si="2"/>
        <v>0.51800000000000002</v>
      </c>
      <c r="U45" s="18">
        <v>3.7000000000000002E-3</v>
      </c>
      <c r="V45" s="28">
        <v>250</v>
      </c>
      <c r="W45" s="28"/>
      <c r="X45" s="28"/>
      <c r="Y45" s="28"/>
      <c r="Z45" s="29">
        <f t="shared" si="3"/>
        <v>0.92500000000000004</v>
      </c>
      <c r="AA45" s="30">
        <f t="shared" si="4"/>
        <v>0.92500000000000004</v>
      </c>
    </row>
    <row r="46" spans="1:30" ht="15.75" customHeight="1" x14ac:dyDescent="0.2">
      <c r="G46" s="32" t="s">
        <v>311</v>
      </c>
      <c r="I46" t="s">
        <v>312</v>
      </c>
    </row>
    <row r="47" spans="1:30" ht="15.75" customHeight="1" x14ac:dyDescent="0.2">
      <c r="A47" s="17" t="s">
        <v>313</v>
      </c>
      <c r="G47" s="21"/>
    </row>
    <row r="48" spans="1:30" ht="15.75" customHeight="1" x14ac:dyDescent="0.2">
      <c r="B48" t="s">
        <v>315</v>
      </c>
      <c r="D48" s="18">
        <v>5.8999999999999997E-2</v>
      </c>
      <c r="E48" s="18"/>
      <c r="F48" s="18"/>
      <c r="G48" s="21"/>
    </row>
    <row r="49" spans="1:26" ht="15.75" customHeight="1" x14ac:dyDescent="0.2">
      <c r="A49" s="17"/>
      <c r="D49" s="18"/>
      <c r="E49" s="18"/>
      <c r="F49" s="18"/>
      <c r="G49" s="21"/>
    </row>
    <row r="50" spans="1:26" ht="15.75" customHeight="1" x14ac:dyDescent="0.2">
      <c r="A50" t="s">
        <v>320</v>
      </c>
      <c r="D50" s="18">
        <f>SUM(D42:D45)+D48</f>
        <v>0.23569999999999999</v>
      </c>
      <c r="E50" s="18"/>
      <c r="F50" s="18"/>
      <c r="G50" s="21"/>
      <c r="K50">
        <v>0.22</v>
      </c>
      <c r="L50">
        <f>D50*K50</f>
        <v>5.1853999999999997E-2</v>
      </c>
      <c r="N50" t="s">
        <v>514</v>
      </c>
    </row>
    <row r="51" spans="1:26" ht="15.75" customHeight="1" x14ac:dyDescent="0.2">
      <c r="B51" s="32" t="s">
        <v>464</v>
      </c>
      <c r="C51" s="32"/>
      <c r="D51" s="32"/>
      <c r="E51" s="32"/>
      <c r="F51" s="32"/>
      <c r="G51" s="32"/>
      <c r="H51" s="32"/>
      <c r="I51" s="32"/>
      <c r="J51" s="32"/>
      <c r="K51" t="s">
        <v>460</v>
      </c>
      <c r="N51" t="s">
        <v>515</v>
      </c>
    </row>
    <row r="52" spans="1:26" ht="15.75" customHeight="1" x14ac:dyDescent="0.2">
      <c r="N52" t="s">
        <v>58</v>
      </c>
    </row>
    <row r="53" spans="1:26" ht="15.75" customHeight="1" x14ac:dyDescent="0.2">
      <c r="G53" t="s">
        <v>329</v>
      </c>
      <c r="K53" s="45" t="s">
        <v>465</v>
      </c>
      <c r="L53" s="90">
        <f>(L42+L43+L44+L45)-L50</f>
        <v>4.9093602465753428</v>
      </c>
      <c r="N53" s="63">
        <f>L53*Y34</f>
        <v>3.0827976999780824E-2</v>
      </c>
      <c r="O53" s="63"/>
      <c r="Q53" s="29">
        <f t="shared" ref="Q53:R53" si="7">SUM(R42:R45)</f>
        <v>1.0398E-3</v>
      </c>
      <c r="R53" s="29">
        <f t="shared" si="7"/>
        <v>10.398</v>
      </c>
      <c r="U53" t="s">
        <v>329</v>
      </c>
      <c r="Y53" s="29">
        <f t="shared" ref="Y53:Z53" si="8">SUM(Z42:Z45)</f>
        <v>16.875</v>
      </c>
      <c r="Z53" s="29">
        <f t="shared" si="8"/>
        <v>16.875</v>
      </c>
    </row>
    <row r="54" spans="1:26" ht="15.75" customHeight="1" x14ac:dyDescent="0.2"/>
    <row r="55" spans="1:26" ht="15.75" customHeight="1" x14ac:dyDescent="0.2">
      <c r="D55" t="s">
        <v>339</v>
      </c>
      <c r="K55">
        <f>10000/R53</f>
        <v>961.72340834775923</v>
      </c>
    </row>
    <row r="56" spans="1:26" ht="15.75" customHeight="1" x14ac:dyDescent="0.2">
      <c r="P56" s="65" t="s">
        <v>520</v>
      </c>
      <c r="T56" s="65" t="s">
        <v>521</v>
      </c>
    </row>
    <row r="57" spans="1:26" ht="15.75" customHeight="1" x14ac:dyDescent="0.2">
      <c r="A57" s="100" t="s">
        <v>343</v>
      </c>
    </row>
    <row r="58" spans="1:26" ht="15.75" customHeight="1" x14ac:dyDescent="0.2">
      <c r="D58" s="34" t="s">
        <v>344</v>
      </c>
      <c r="E58" s="34"/>
      <c r="F58" s="34"/>
      <c r="L58" s="34" t="s">
        <v>344</v>
      </c>
      <c r="P58" s="64" t="s">
        <v>516</v>
      </c>
      <c r="Q58" s="64"/>
    </row>
    <row r="59" spans="1:26" ht="15.75" customHeight="1" x14ac:dyDescent="0.2">
      <c r="D59" s="34" t="s">
        <v>345</v>
      </c>
      <c r="E59" s="34"/>
      <c r="F59" s="34"/>
      <c r="G59" s="33" t="s">
        <v>346</v>
      </c>
      <c r="H59" s="33" t="s">
        <v>347</v>
      </c>
      <c r="I59" s="33" t="s">
        <v>348</v>
      </c>
      <c r="J59" s="37"/>
      <c r="K59" s="34" t="s">
        <v>349</v>
      </c>
      <c r="L59" s="34" t="s">
        <v>350</v>
      </c>
      <c r="P59" s="64" t="s">
        <v>257</v>
      </c>
      <c r="Q59" s="64" t="s">
        <v>517</v>
      </c>
      <c r="T59" t="s">
        <v>257</v>
      </c>
    </row>
    <row r="60" spans="1:26" ht="15.75" customHeight="1" x14ac:dyDescent="0.2">
      <c r="B60" s="43" t="s">
        <v>457</v>
      </c>
      <c r="C60" s="43"/>
      <c r="D60" s="47">
        <v>0.22021917799999999</v>
      </c>
      <c r="E60" s="47"/>
      <c r="F60" s="47"/>
      <c r="G60" s="36">
        <v>307</v>
      </c>
      <c r="H60" s="35">
        <v>19</v>
      </c>
      <c r="I60">
        <f t="shared" ref="I60:I62" si="9">G60-H60</f>
        <v>288</v>
      </c>
      <c r="K60">
        <f t="shared" ref="K60:K62" si="10">I60*12/365</f>
        <v>9.4684931506849317</v>
      </c>
      <c r="L60">
        <f>D60*K60</f>
        <v>2.0851437785424656</v>
      </c>
      <c r="P60" s="64">
        <f>(L63+L42+L43+L44+L45)*365*Q60/2</f>
        <v>16111539024404.312</v>
      </c>
      <c r="Q60" s="66">
        <v>7754000000</v>
      </c>
      <c r="T60">
        <f>(L63+L45+L44+L43+L42)*S16*365*Q60/2</f>
        <v>69730623371.741272</v>
      </c>
    </row>
    <row r="61" spans="1:26" ht="15.75" customHeight="1" x14ac:dyDescent="0.2">
      <c r="B61" s="37" t="s">
        <v>359</v>
      </c>
      <c r="C61" s="37"/>
      <c r="D61" s="47">
        <f>0.008136986+0.035753424</f>
        <v>4.3890409999999998E-2</v>
      </c>
      <c r="E61" s="47"/>
      <c r="F61" s="47"/>
      <c r="G61">
        <v>3009</v>
      </c>
      <c r="H61" s="34">
        <v>121</v>
      </c>
      <c r="I61">
        <f t="shared" si="9"/>
        <v>2888</v>
      </c>
      <c r="K61">
        <f t="shared" si="10"/>
        <v>94.947945205479456</v>
      </c>
      <c r="L61">
        <f t="shared" ref="L61:L62" si="11">D61*K61</f>
        <v>4.1673042437260275</v>
      </c>
      <c r="P61" s="64"/>
      <c r="Q61" s="64"/>
    </row>
    <row r="62" spans="1:26" ht="15.75" customHeight="1" x14ac:dyDescent="0.2">
      <c r="B62" s="37" t="s">
        <v>361</v>
      </c>
      <c r="C62" s="37"/>
      <c r="D62" s="48">
        <f>(14.3/365)/0.06</f>
        <v>0.65296803652968038</v>
      </c>
      <c r="E62" s="48"/>
      <c r="F62" s="48"/>
      <c r="G62">
        <v>10</v>
      </c>
      <c r="H62" s="34">
        <v>2</v>
      </c>
      <c r="I62">
        <f t="shared" si="9"/>
        <v>8</v>
      </c>
      <c r="K62">
        <f t="shared" si="10"/>
        <v>0.26301369863013696</v>
      </c>
      <c r="L62">
        <f t="shared" si="11"/>
        <v>0.17173953837492961</v>
      </c>
      <c r="P62" s="64" t="s">
        <v>61</v>
      </c>
      <c r="Q62" s="64"/>
    </row>
    <row r="63" spans="1:26" ht="15.75" customHeight="1" x14ac:dyDescent="0.2">
      <c r="A63" s="42" t="s">
        <v>458</v>
      </c>
      <c r="B63" t="s">
        <v>459</v>
      </c>
      <c r="D63" s="47"/>
      <c r="E63" s="47"/>
      <c r="F63" s="47"/>
      <c r="H63" s="34"/>
      <c r="K63" t="s">
        <v>461</v>
      </c>
      <c r="L63">
        <f>L60+L61+L62</f>
        <v>6.4241875606434231</v>
      </c>
      <c r="P63" s="66">
        <f>P60/10000</f>
        <v>1611153902.4404314</v>
      </c>
      <c r="Q63" s="64"/>
      <c r="T63" t="s">
        <v>61</v>
      </c>
    </row>
    <row r="64" spans="1:26" ht="15.75" customHeight="1" x14ac:dyDescent="0.2">
      <c r="B64" s="33"/>
      <c r="C64" s="37"/>
      <c r="D64" s="47"/>
      <c r="E64" s="47"/>
      <c r="F64" s="47"/>
      <c r="H64" s="34"/>
      <c r="T64" s="61">
        <f>T60/10000</f>
        <v>6973062.3371741269</v>
      </c>
    </row>
    <row r="65" spans="1:20" ht="15.75" customHeight="1" x14ac:dyDescent="0.2">
      <c r="B65" s="41" t="s">
        <v>454</v>
      </c>
      <c r="C65" s="41"/>
      <c r="D65" s="47"/>
      <c r="E65" s="47"/>
      <c r="F65" s="47"/>
      <c r="H65" s="34"/>
      <c r="K65" t="s">
        <v>584</v>
      </c>
      <c r="P65" s="44" t="s">
        <v>518</v>
      </c>
      <c r="Q65" s="65" t="s">
        <v>519</v>
      </c>
      <c r="T65" s="44" t="s">
        <v>518</v>
      </c>
    </row>
    <row r="66" spans="1:20" ht="15.75" customHeight="1" x14ac:dyDescent="0.2">
      <c r="A66" s="33" t="s">
        <v>362</v>
      </c>
      <c r="B66" s="42" t="s">
        <v>455</v>
      </c>
      <c r="C66" s="42"/>
      <c r="D66" s="47">
        <v>0.22021917799999999</v>
      </c>
      <c r="E66" s="47"/>
      <c r="F66" s="47"/>
      <c r="H66" s="34"/>
      <c r="K66">
        <f>(0.3+0.7+0.5)/3</f>
        <v>0.5</v>
      </c>
      <c r="L66">
        <f>K66*D66</f>
        <v>0.11010958899999999</v>
      </c>
      <c r="P66" s="44">
        <f>K8/P63</f>
        <v>2.3824539630793709</v>
      </c>
      <c r="T66" s="44">
        <f>R16/T64</f>
        <v>2.3824539630793709</v>
      </c>
    </row>
    <row r="67" spans="1:20" ht="15.75" customHeight="1" x14ac:dyDescent="0.2">
      <c r="A67" s="37" t="s">
        <v>359</v>
      </c>
      <c r="B67" s="42" t="s">
        <v>456</v>
      </c>
      <c r="C67" s="42"/>
      <c r="D67" s="47">
        <f>0.008136986+0.035753424</f>
        <v>4.3890409999999998E-2</v>
      </c>
      <c r="E67" s="47"/>
      <c r="F67" s="47"/>
      <c r="K67">
        <v>0.22</v>
      </c>
      <c r="L67">
        <f t="shared" ref="L67:L68" si="12">K67*D67</f>
        <v>9.6558901999999995E-3</v>
      </c>
    </row>
    <row r="68" spans="1:20" ht="15.75" customHeight="1" x14ac:dyDescent="0.2">
      <c r="A68" s="37" t="s">
        <v>361</v>
      </c>
      <c r="B68" t="s">
        <v>456</v>
      </c>
      <c r="D68" s="48">
        <f>14.3/365</f>
        <v>3.9178082191780823E-2</v>
      </c>
      <c r="E68" s="48"/>
      <c r="F68" s="48"/>
      <c r="K68">
        <v>0.22</v>
      </c>
      <c r="L68">
        <f t="shared" si="12"/>
        <v>8.6191780821917811E-3</v>
      </c>
    </row>
    <row r="69" spans="1:20" ht="15.75" customHeight="1" x14ac:dyDescent="0.2">
      <c r="A69" s="42"/>
      <c r="K69" t="s">
        <v>460</v>
      </c>
    </row>
    <row r="70" spans="1:20" ht="15.75" customHeight="1" x14ac:dyDescent="0.2"/>
    <row r="71" spans="1:20" ht="15.75" customHeight="1" x14ac:dyDescent="0.2">
      <c r="A71" s="99" t="s">
        <v>614</v>
      </c>
      <c r="K71" t="s">
        <v>462</v>
      </c>
      <c r="L71">
        <f>SUM(L66:L68)</f>
        <v>0.12838465728219178</v>
      </c>
    </row>
    <row r="72" spans="1:20" ht="15.75" customHeight="1" x14ac:dyDescent="0.2">
      <c r="A72" s="42" t="s">
        <v>615</v>
      </c>
      <c r="D72" t="s">
        <v>616</v>
      </c>
      <c r="G72" t="s">
        <v>875</v>
      </c>
    </row>
    <row r="73" spans="1:20" ht="15.75" customHeight="1" x14ac:dyDescent="0.2">
      <c r="A73" s="42" t="s">
        <v>214</v>
      </c>
      <c r="B73" t="s">
        <v>617</v>
      </c>
      <c r="C73" s="153" t="s">
        <v>1156</v>
      </c>
      <c r="D73" t="s">
        <v>215</v>
      </c>
      <c r="G73" t="s">
        <v>916</v>
      </c>
      <c r="K73" s="44" t="s">
        <v>597</v>
      </c>
      <c r="L73" s="44">
        <f>L63-L71</f>
        <v>6.2958029033612313</v>
      </c>
    </row>
    <row r="74" spans="1:20" ht="15.75" customHeight="1" x14ac:dyDescent="0.2">
      <c r="A74">
        <v>2016</v>
      </c>
      <c r="K74" s="44" t="s">
        <v>215</v>
      </c>
      <c r="L74" s="44"/>
    </row>
    <row r="75" spans="1:20" ht="15.75" customHeight="1" x14ac:dyDescent="0.2">
      <c r="A75" s="61">
        <f>V34*1000000</f>
        <v>21977999.999999996</v>
      </c>
      <c r="B75">
        <f>A75*10000</f>
        <v>219779999999.99997</v>
      </c>
      <c r="C75">
        <f>B75/365</f>
        <v>602136986.30136979</v>
      </c>
      <c r="D75">
        <f>'Summary sheet'!E79</f>
        <v>11.205163149936574</v>
      </c>
      <c r="G75" s="61">
        <f>'Halt increase'!I24</f>
        <v>28915534804.753822</v>
      </c>
      <c r="H75" s="61"/>
    </row>
    <row r="76" spans="1:20" ht="15.75" customHeight="1" x14ac:dyDescent="0.2">
      <c r="B76">
        <v>220000000000</v>
      </c>
      <c r="G76" s="61"/>
    </row>
    <row r="77" spans="1:20" ht="15.75" customHeight="1" x14ac:dyDescent="0.2"/>
    <row r="78" spans="1:20" ht="15.75" customHeight="1" x14ac:dyDescent="0.2">
      <c r="A78" s="153" t="s">
        <v>1157</v>
      </c>
      <c r="B78" s="153" t="s">
        <v>1158</v>
      </c>
    </row>
    <row r="79" spans="1:20" ht="15.75" customHeight="1" x14ac:dyDescent="0.2">
      <c r="A79">
        <f>C75/24/60/60</f>
        <v>6969.1780821917791</v>
      </c>
      <c r="B79">
        <f>A79/'Summary sheet'!AO6</f>
        <v>0.97607536165150965</v>
      </c>
    </row>
    <row r="80" spans="1:20" ht="15.75" customHeight="1" x14ac:dyDescent="0.2"/>
    <row r="81" spans="1:6" ht="15.75" customHeight="1" x14ac:dyDescent="0.2">
      <c r="A81" s="59" t="s">
        <v>1159</v>
      </c>
      <c r="B81" s="153" t="s">
        <v>1160</v>
      </c>
      <c r="C81" t="s">
        <v>1161</v>
      </c>
    </row>
    <row r="82" spans="1:6" ht="15.75" customHeight="1" x14ac:dyDescent="0.2">
      <c r="B82" s="153"/>
      <c r="C82" s="153" t="s">
        <v>1162</v>
      </c>
      <c r="F82" s="153" t="s">
        <v>1164</v>
      </c>
    </row>
    <row r="83" spans="1:6" ht="15.75" customHeight="1" x14ac:dyDescent="0.2">
      <c r="A83" s="153" t="s">
        <v>1163</v>
      </c>
      <c r="B83" s="153" t="s">
        <v>209</v>
      </c>
      <c r="C83" s="153" t="s">
        <v>665</v>
      </c>
      <c r="D83" s="153" t="s">
        <v>665</v>
      </c>
    </row>
    <row r="84" spans="1:6" ht="15.75" customHeight="1" x14ac:dyDescent="0.2">
      <c r="A84" s="153" t="s">
        <v>61</v>
      </c>
      <c r="B84" s="153" t="s">
        <v>61</v>
      </c>
      <c r="C84" s="153" t="s">
        <v>58</v>
      </c>
      <c r="D84" s="153" t="s">
        <v>1165</v>
      </c>
    </row>
    <row r="85" spans="1:6" ht="15.75" customHeight="1" x14ac:dyDescent="0.2">
      <c r="A85" s="61">
        <v>3500000</v>
      </c>
      <c r="B85" s="61">
        <f>A85/8</f>
        <v>437500</v>
      </c>
      <c r="C85">
        <f>B85*10000/365/24/60/60</f>
        <v>138.73033992897004</v>
      </c>
      <c r="D85">
        <f>C85/'Summary sheet'!AO7</f>
        <v>0.70915706427672864</v>
      </c>
    </row>
    <row r="86" spans="1:6" ht="15.75" customHeight="1" x14ac:dyDescent="0.2"/>
    <row r="87" spans="1:6" ht="15.75" customHeight="1" x14ac:dyDescent="0.2"/>
    <row r="88" spans="1:6" ht="15.75" customHeight="1" x14ac:dyDescent="0.2"/>
    <row r="89" spans="1:6" ht="15.75" customHeight="1" x14ac:dyDescent="0.2"/>
    <row r="90" spans="1:6" ht="15.75" customHeight="1" x14ac:dyDescent="0.2"/>
    <row r="91" spans="1:6" ht="15.75" customHeight="1" x14ac:dyDescent="0.2"/>
    <row r="92" spans="1:6" ht="15.75" customHeight="1" x14ac:dyDescent="0.2"/>
    <row r="93" spans="1:6" ht="15.75" customHeight="1" x14ac:dyDescent="0.2"/>
    <row r="94" spans="1:6" ht="15.75" customHeight="1" x14ac:dyDescent="0.2"/>
    <row r="95" spans="1:6" ht="15.75" customHeight="1" x14ac:dyDescent="0.2"/>
    <row r="96" spans="1: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sheetData>
  <hyperlinks>
    <hyperlink ref="Q2" r:id="rId1" xr:uid="{00000000-0004-0000-0900-000000000000}"/>
    <hyperlink ref="T27" r:id="rId2" xr:uid="{00000000-0004-0000-0900-000001000000}"/>
  </hyperlinks>
  <pageMargins left="0.75" right="0.75" top="1" bottom="1" header="0" footer="0"/>
  <pageSetup paperSize="9" orientation="portrait"/>
  <legacyDrawing r:id="rId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0AED7-0A6B-4740-AA93-0841A13FDB51}">
  <dimension ref="A1:C10"/>
  <sheetViews>
    <sheetView zoomScale="400" zoomScaleNormal="400" workbookViewId="0">
      <selection activeCell="C2" sqref="C2"/>
    </sheetView>
  </sheetViews>
  <sheetFormatPr baseColWidth="10" defaultRowHeight="16" x14ac:dyDescent="0.2"/>
  <cols>
    <col min="2" max="2" width="22.1640625" customWidth="1"/>
  </cols>
  <sheetData>
    <row r="1" spans="1:3" x14ac:dyDescent="0.2">
      <c r="A1" s="153" t="s">
        <v>1090</v>
      </c>
      <c r="C1" s="153" t="s">
        <v>1094</v>
      </c>
    </row>
    <row r="2" spans="1:3" x14ac:dyDescent="0.2">
      <c r="B2" s="153" t="s">
        <v>1092</v>
      </c>
      <c r="C2" s="112">
        <f>(B5-B7)/B7</f>
        <v>0.13176264011298419</v>
      </c>
    </row>
    <row r="3" spans="1:3" x14ac:dyDescent="0.2">
      <c r="A3" s="153" t="s">
        <v>80</v>
      </c>
    </row>
    <row r="4" spans="1:3" x14ac:dyDescent="0.2">
      <c r="A4" s="153">
        <v>2035</v>
      </c>
    </row>
    <row r="5" spans="1:3" x14ac:dyDescent="0.2">
      <c r="A5">
        <v>2034</v>
      </c>
      <c r="B5" s="61">
        <v>8821862000</v>
      </c>
      <c r="C5" t="s">
        <v>1091</v>
      </c>
    </row>
    <row r="6" spans="1:3" x14ac:dyDescent="0.2">
      <c r="B6" s="61"/>
    </row>
    <row r="7" spans="1:3" ht="19" x14ac:dyDescent="0.2">
      <c r="A7">
        <v>2021</v>
      </c>
      <c r="B7" s="156">
        <v>7794798739</v>
      </c>
      <c r="C7" t="s">
        <v>1091</v>
      </c>
    </row>
    <row r="8" spans="1:3" x14ac:dyDescent="0.2">
      <c r="B8" s="61"/>
    </row>
    <row r="9" spans="1:3" x14ac:dyDescent="0.2">
      <c r="B9" s="61"/>
    </row>
    <row r="10" spans="1:3" x14ac:dyDescent="0.2">
      <c r="B10" s="6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005"/>
  <sheetViews>
    <sheetView zoomScale="200" zoomScaleNormal="200" zoomScalePageLayoutView="200" workbookViewId="0">
      <selection activeCell="D6" sqref="D6"/>
    </sheetView>
  </sheetViews>
  <sheetFormatPr baseColWidth="10" defaultColWidth="11.1640625" defaultRowHeight="15" customHeight="1" x14ac:dyDescent="0.2"/>
  <cols>
    <col min="1" max="1" width="15.33203125" customWidth="1"/>
    <col min="2" max="2" width="14.6640625" customWidth="1"/>
    <col min="3" max="3" width="10.5" customWidth="1"/>
    <col min="4" max="4" width="16.83203125" customWidth="1"/>
    <col min="5" max="5" width="22" customWidth="1"/>
    <col min="6" max="6" width="19.33203125" customWidth="1"/>
    <col min="7" max="7" width="19.5" customWidth="1"/>
    <col min="8" max="8" width="20.83203125" customWidth="1"/>
    <col min="9" max="9" width="10.5" customWidth="1"/>
    <col min="10" max="10" width="27.6640625" customWidth="1"/>
    <col min="11" max="26" width="10.5" customWidth="1"/>
  </cols>
  <sheetData>
    <row r="1" spans="1:17" ht="16" x14ac:dyDescent="0.2">
      <c r="A1" t="s">
        <v>309</v>
      </c>
      <c r="D1" t="s">
        <v>310</v>
      </c>
    </row>
    <row r="2" spans="1:17" ht="15" customHeight="1" x14ac:dyDescent="0.2">
      <c r="F2" t="s">
        <v>501</v>
      </c>
    </row>
    <row r="3" spans="1:17" ht="16" x14ac:dyDescent="0.2">
      <c r="C3" s="17" t="s">
        <v>117</v>
      </c>
      <c r="D3" t="s">
        <v>314</v>
      </c>
      <c r="E3" t="s">
        <v>264</v>
      </c>
      <c r="F3" t="s">
        <v>502</v>
      </c>
      <c r="H3" t="s">
        <v>317</v>
      </c>
      <c r="I3" t="s">
        <v>318</v>
      </c>
    </row>
    <row r="4" spans="1:17" ht="16" x14ac:dyDescent="0.2">
      <c r="C4" s="17"/>
      <c r="D4" t="s">
        <v>321</v>
      </c>
      <c r="E4" t="s">
        <v>275</v>
      </c>
      <c r="F4" t="s">
        <v>500</v>
      </c>
      <c r="H4" t="s">
        <v>229</v>
      </c>
    </row>
    <row r="5" spans="1:17" ht="16" x14ac:dyDescent="0.2">
      <c r="C5" s="17"/>
      <c r="D5" t="s">
        <v>499</v>
      </c>
    </row>
    <row r="6" spans="1:17" ht="16" x14ac:dyDescent="0.2">
      <c r="B6" s="17" t="s">
        <v>121</v>
      </c>
      <c r="C6" s="18">
        <v>3.7999999999999999E-2</v>
      </c>
      <c r="D6">
        <v>242</v>
      </c>
      <c r="E6">
        <f>D6*12/365</f>
        <v>7.956164383561644</v>
      </c>
      <c r="F6">
        <f>C6*E6</f>
        <v>0.30233424657534247</v>
      </c>
      <c r="H6">
        <f>C6*I6</f>
        <v>0.89376</v>
      </c>
      <c r="I6">
        <v>23.52</v>
      </c>
      <c r="J6" t="s">
        <v>331</v>
      </c>
      <c r="K6" t="s">
        <v>332</v>
      </c>
    </row>
    <row r="7" spans="1:17" ht="16" x14ac:dyDescent="0.2">
      <c r="B7" s="17" t="s">
        <v>122</v>
      </c>
      <c r="C7" s="18">
        <v>0.06</v>
      </c>
      <c r="D7">
        <v>186</v>
      </c>
      <c r="E7">
        <f t="shared" ref="E7:E10" si="0">D7*12/365</f>
        <v>6.1150684931506847</v>
      </c>
      <c r="F7">
        <f t="shared" ref="F7:F10" si="1">C7*E7</f>
        <v>0.36690410958904107</v>
      </c>
      <c r="H7">
        <f t="shared" ref="H7:H9" si="2">C7*I7</f>
        <v>0.55800000000000005</v>
      </c>
      <c r="I7">
        <v>9.3000000000000007</v>
      </c>
      <c r="K7" t="s">
        <v>332</v>
      </c>
    </row>
    <row r="8" spans="1:17" ht="16" x14ac:dyDescent="0.2">
      <c r="B8" s="17" t="s">
        <v>89</v>
      </c>
      <c r="C8" s="18">
        <v>7.4999999999999997E-2</v>
      </c>
      <c r="D8">
        <v>149</v>
      </c>
      <c r="E8">
        <f t="shared" si="0"/>
        <v>4.8986301369863012</v>
      </c>
      <c r="F8">
        <f t="shared" si="1"/>
        <v>0.36739726027397257</v>
      </c>
      <c r="H8">
        <f t="shared" si="2"/>
        <v>0.57750000000000001</v>
      </c>
      <c r="I8">
        <v>7.7</v>
      </c>
      <c r="J8" t="s">
        <v>335</v>
      </c>
      <c r="K8" t="s">
        <v>332</v>
      </c>
    </row>
    <row r="9" spans="1:17" ht="16" x14ac:dyDescent="0.2">
      <c r="B9" s="17" t="s">
        <v>123</v>
      </c>
      <c r="C9" s="18">
        <v>3.7000000000000002E-3</v>
      </c>
      <c r="D9">
        <v>242</v>
      </c>
      <c r="E9">
        <f t="shared" si="0"/>
        <v>7.956164383561644</v>
      </c>
      <c r="F9">
        <f t="shared" si="1"/>
        <v>2.9437808219178085E-2</v>
      </c>
      <c r="H9">
        <f t="shared" si="2"/>
        <v>8.8800000000000004E-2</v>
      </c>
      <c r="I9">
        <v>24</v>
      </c>
    </row>
    <row r="10" spans="1:17" ht="16" x14ac:dyDescent="0.2">
      <c r="B10" s="17" t="s">
        <v>26</v>
      </c>
      <c r="C10" s="18">
        <v>5.8999999999999997E-2</v>
      </c>
      <c r="D10">
        <v>279</v>
      </c>
      <c r="E10">
        <f t="shared" si="0"/>
        <v>9.1726027397260275</v>
      </c>
      <c r="F10">
        <f t="shared" si="1"/>
        <v>0.54118356164383563</v>
      </c>
      <c r="H10">
        <f>C10*I10</f>
        <v>0.63483999999999996</v>
      </c>
      <c r="I10">
        <v>10.76</v>
      </c>
    </row>
    <row r="11" spans="1:17" ht="16" x14ac:dyDescent="0.2">
      <c r="B11" s="17"/>
      <c r="C11" s="18"/>
      <c r="H11" s="59" t="s">
        <v>586</v>
      </c>
    </row>
    <row r="12" spans="1:17" ht="16" x14ac:dyDescent="0.2">
      <c r="A12" t="s">
        <v>503</v>
      </c>
      <c r="B12" s="17"/>
      <c r="C12" s="18"/>
      <c r="H12" s="67">
        <f>SUM(H6:H10)</f>
        <v>2.7529000000000003</v>
      </c>
      <c r="M12" s="59" t="s">
        <v>365</v>
      </c>
      <c r="Q12">
        <v>2025</v>
      </c>
    </row>
    <row r="13" spans="1:17" ht="16" x14ac:dyDescent="0.2">
      <c r="B13" s="17"/>
      <c r="C13" s="18">
        <f>SUM(C6:C10)</f>
        <v>0.23569999999999999</v>
      </c>
      <c r="D13">
        <v>19</v>
      </c>
      <c r="E13">
        <f>D13*12/365</f>
        <v>0.62465753424657533</v>
      </c>
      <c r="F13">
        <f>C13*E13</f>
        <v>0.14723178082191779</v>
      </c>
      <c r="H13" s="59" t="s">
        <v>454</v>
      </c>
      <c r="M13">
        <f>H12-H17</f>
        <v>1.6325393333333338</v>
      </c>
      <c r="N13" t="s">
        <v>590</v>
      </c>
    </row>
    <row r="14" spans="1:17" ht="15" customHeight="1" x14ac:dyDescent="0.2">
      <c r="I14">
        <v>1.35</v>
      </c>
      <c r="J14" t="s">
        <v>587</v>
      </c>
      <c r="K14" t="s">
        <v>588</v>
      </c>
      <c r="M14">
        <f>H74</f>
        <v>321.78990859407673</v>
      </c>
      <c r="N14" t="s">
        <v>524</v>
      </c>
    </row>
    <row r="15" spans="1:17" ht="16" x14ac:dyDescent="0.2">
      <c r="E15" t="s">
        <v>351</v>
      </c>
      <c r="F15">
        <f>(F6+F7+F8+F9+F10)-F13</f>
        <v>1.460025205479452</v>
      </c>
      <c r="I15">
        <v>3.08</v>
      </c>
      <c r="J15" t="s">
        <v>589</v>
      </c>
      <c r="K15" t="s">
        <v>588</v>
      </c>
      <c r="M15" s="44">
        <f>M13+M14</f>
        <v>323.42244792741008</v>
      </c>
      <c r="N15" t="s">
        <v>525</v>
      </c>
      <c r="Q15">
        <f>M15</f>
        <v>323.42244792741008</v>
      </c>
    </row>
    <row r="16" spans="1:17" ht="16" x14ac:dyDescent="0.2">
      <c r="E16" t="s">
        <v>352</v>
      </c>
      <c r="I16">
        <v>9.83</v>
      </c>
      <c r="J16" t="s">
        <v>470</v>
      </c>
      <c r="K16" t="s">
        <v>588</v>
      </c>
      <c r="M16">
        <v>250719</v>
      </c>
      <c r="N16" t="s">
        <v>526</v>
      </c>
      <c r="Q16" s="61">
        <v>14000000</v>
      </c>
    </row>
    <row r="17" spans="1:17" ht="15" customHeight="1" x14ac:dyDescent="0.2">
      <c r="H17" s="67">
        <f>C13*I17</f>
        <v>1.1203606666666666</v>
      </c>
      <c r="I17">
        <f>SUM(I14:I16)/3</f>
        <v>4.753333333333333</v>
      </c>
      <c r="J17" t="s">
        <v>191</v>
      </c>
      <c r="M17">
        <f>M16*0.29</f>
        <v>72708.509999999995</v>
      </c>
      <c r="N17" t="s">
        <v>527</v>
      </c>
      <c r="Q17">
        <f>Q16*0.29</f>
        <v>4059999.9999999995</v>
      </c>
    </row>
    <row r="18" spans="1:17" ht="16" x14ac:dyDescent="0.2">
      <c r="A18" t="s">
        <v>353</v>
      </c>
      <c r="D18" t="s">
        <v>314</v>
      </c>
      <c r="E18" t="s">
        <v>264</v>
      </c>
      <c r="M18" s="68">
        <v>369700</v>
      </c>
      <c r="N18" t="s">
        <v>528</v>
      </c>
      <c r="Q18" s="69">
        <v>6000000</v>
      </c>
    </row>
    <row r="19" spans="1:17" ht="16" x14ac:dyDescent="0.2">
      <c r="D19" t="s">
        <v>321</v>
      </c>
      <c r="E19" t="s">
        <v>275</v>
      </c>
      <c r="F19" t="s">
        <v>354</v>
      </c>
      <c r="I19" s="44" t="s">
        <v>317</v>
      </c>
      <c r="M19" s="70">
        <f>M18/(M15/1000*M17)</f>
        <v>15.721502382460883</v>
      </c>
      <c r="N19" s="59" t="s">
        <v>529</v>
      </c>
      <c r="Q19" s="70">
        <f>Q18/(Q15/1000*Q17)</f>
        <v>4.5693566472756411</v>
      </c>
    </row>
    <row r="20" spans="1:17" ht="16" x14ac:dyDescent="0.2">
      <c r="D20" t="s">
        <v>322</v>
      </c>
      <c r="E20" t="s">
        <v>283</v>
      </c>
      <c r="G20" t="s">
        <v>355</v>
      </c>
      <c r="I20" s="44" t="s">
        <v>229</v>
      </c>
    </row>
    <row r="21" spans="1:17" ht="15.75" customHeight="1" x14ac:dyDescent="0.2">
      <c r="D21" t="s">
        <v>357</v>
      </c>
      <c r="G21" t="s">
        <v>358</v>
      </c>
      <c r="I21" s="99">
        <f>H12-H17</f>
        <v>1.6325393333333338</v>
      </c>
    </row>
    <row r="22" spans="1:17" ht="15.75" customHeight="1" x14ac:dyDescent="0.2"/>
    <row r="23" spans="1:17" ht="15.75" customHeight="1" x14ac:dyDescent="0.2">
      <c r="D23">
        <v>89</v>
      </c>
      <c r="E23">
        <f>D23*12/365</f>
        <v>2.9260273972602739</v>
      </c>
      <c r="F23">
        <f>F15/E23</f>
        <v>0.49897865168539324</v>
      </c>
      <c r="G23" s="101">
        <f>(100*F23)/8</f>
        <v>6.2372331460674157</v>
      </c>
      <c r="H23" s="102" t="s">
        <v>656</v>
      </c>
    </row>
    <row r="24" spans="1:17" ht="15.75" customHeight="1" x14ac:dyDescent="0.2">
      <c r="G24" s="44">
        <f>I74</f>
        <v>1374.687694719546</v>
      </c>
      <c r="H24" s="59" t="s">
        <v>594</v>
      </c>
    </row>
    <row r="25" spans="1:17" ht="15.75" customHeight="1" x14ac:dyDescent="0.2"/>
    <row r="26" spans="1:17" ht="15.75" customHeight="1" x14ac:dyDescent="0.2">
      <c r="G26" s="98">
        <f>G24+G23</f>
        <v>1380.9249278656134</v>
      </c>
      <c r="H26" s="99" t="s">
        <v>655</v>
      </c>
      <c r="M26">
        <v>1.01E-2</v>
      </c>
      <c r="N26" t="s">
        <v>360</v>
      </c>
    </row>
    <row r="27" spans="1:17" ht="15.75" customHeight="1" x14ac:dyDescent="0.2">
      <c r="A27" s="91" t="s">
        <v>343</v>
      </c>
    </row>
    <row r="28" spans="1:17" ht="15.75" customHeight="1" x14ac:dyDescent="0.2">
      <c r="C28" s="34" t="s">
        <v>344</v>
      </c>
      <c r="H28" s="34" t="s">
        <v>344</v>
      </c>
      <c r="M28" t="s">
        <v>365</v>
      </c>
      <c r="N28" t="s">
        <v>846</v>
      </c>
      <c r="O28" t="s">
        <v>847</v>
      </c>
    </row>
    <row r="29" spans="1:17" ht="15.75" customHeight="1" x14ac:dyDescent="0.2">
      <c r="C29" s="34" t="s">
        <v>345</v>
      </c>
      <c r="D29" s="37" t="s">
        <v>346</v>
      </c>
      <c r="E29" s="37" t="s">
        <v>347</v>
      </c>
      <c r="F29" s="37" t="s">
        <v>348</v>
      </c>
      <c r="G29" s="49" t="s">
        <v>466</v>
      </c>
      <c r="H29" s="34" t="s">
        <v>350</v>
      </c>
      <c r="M29" t="s">
        <v>848</v>
      </c>
      <c r="N29" t="s">
        <v>848</v>
      </c>
    </row>
    <row r="30" spans="1:17" ht="15.75" customHeight="1" x14ac:dyDescent="0.2">
      <c r="B30" s="43" t="s">
        <v>457</v>
      </c>
      <c r="C30" s="47">
        <v>0.22021917799999999</v>
      </c>
      <c r="D30" s="36">
        <v>307</v>
      </c>
      <c r="E30" s="35">
        <v>19</v>
      </c>
      <c r="F30">
        <f t="shared" ref="F30:F32" si="3">D30-E30</f>
        <v>288</v>
      </c>
      <c r="G30">
        <f>E30*12/365</f>
        <v>0.62465753424657533</v>
      </c>
      <c r="H30">
        <f>C30*G30</f>
        <v>0.13756156872328765</v>
      </c>
      <c r="K30" t="s">
        <v>844</v>
      </c>
      <c r="M30">
        <f>I21</f>
        <v>1.6325393333333338</v>
      </c>
      <c r="N30">
        <f>M30*6.2958/4.9093</f>
        <v>2.0936062442303389</v>
      </c>
      <c r="O30">
        <f>M30+N30</f>
        <v>3.7261455775636727</v>
      </c>
    </row>
    <row r="31" spans="1:17" ht="15.75" customHeight="1" x14ac:dyDescent="0.2">
      <c r="B31" s="37" t="s">
        <v>359</v>
      </c>
      <c r="C31" s="47">
        <f>0.008136986+0.035753424</f>
        <v>4.3890409999999998E-2</v>
      </c>
      <c r="D31">
        <v>3009</v>
      </c>
      <c r="E31" s="34">
        <v>121</v>
      </c>
      <c r="F31">
        <f t="shared" si="3"/>
        <v>2888</v>
      </c>
      <c r="G31">
        <f t="shared" ref="G31:G32" si="4">E31*12/365</f>
        <v>3.978082191780822</v>
      </c>
      <c r="H31">
        <f t="shared" ref="H31:H32" si="5">C31*G31</f>
        <v>0.1745996584109589</v>
      </c>
      <c r="K31" t="s">
        <v>845</v>
      </c>
      <c r="M31">
        <f>H74</f>
        <v>321.78990859407673</v>
      </c>
      <c r="N31">
        <f>H84</f>
        <v>412.66595626429591</v>
      </c>
      <c r="O31">
        <f>M31+N31</f>
        <v>734.45586485837271</v>
      </c>
    </row>
    <row r="32" spans="1:17" ht="15.75" customHeight="1" x14ac:dyDescent="0.2">
      <c r="B32" s="37" t="s">
        <v>361</v>
      </c>
      <c r="C32" s="48">
        <f>(14.3/365)/0.06</f>
        <v>0.65296803652968038</v>
      </c>
      <c r="D32">
        <v>10</v>
      </c>
      <c r="E32" s="34">
        <v>2</v>
      </c>
      <c r="F32">
        <f t="shared" si="3"/>
        <v>8</v>
      </c>
      <c r="G32">
        <f t="shared" si="4"/>
        <v>6.575342465753424E-2</v>
      </c>
      <c r="H32">
        <f t="shared" si="5"/>
        <v>4.2934884593732403E-2</v>
      </c>
    </row>
    <row r="33" spans="1:15" ht="15.75" customHeight="1" x14ac:dyDescent="0.2">
      <c r="A33" s="42" t="s">
        <v>458</v>
      </c>
      <c r="B33" t="s">
        <v>459</v>
      </c>
      <c r="C33" s="47"/>
      <c r="E33" s="34"/>
      <c r="G33" t="s">
        <v>461</v>
      </c>
      <c r="H33">
        <f>H30+H31+H32</f>
        <v>0.35509611172797895</v>
      </c>
      <c r="K33" t="s">
        <v>329</v>
      </c>
      <c r="M33">
        <f>M30+M31</f>
        <v>323.42244792741008</v>
      </c>
      <c r="O33">
        <f>O30+O31</f>
        <v>738.18201043593638</v>
      </c>
    </row>
    <row r="34" spans="1:15" ht="15.75" customHeight="1" x14ac:dyDescent="0.2">
      <c r="B34" s="37"/>
      <c r="C34" s="47"/>
      <c r="E34" s="34"/>
    </row>
    <row r="35" spans="1:15" ht="15.75" customHeight="1" x14ac:dyDescent="0.2">
      <c r="B35" s="41" t="s">
        <v>454</v>
      </c>
      <c r="C35" s="47"/>
      <c r="E35" s="34"/>
      <c r="G35" s="71" t="s">
        <v>584</v>
      </c>
    </row>
    <row r="36" spans="1:15" ht="15.75" customHeight="1" x14ac:dyDescent="0.2">
      <c r="A36" s="37" t="s">
        <v>362</v>
      </c>
      <c r="B36" s="42" t="s">
        <v>455</v>
      </c>
      <c r="C36" s="47">
        <v>0.22021917799999999</v>
      </c>
      <c r="E36" s="47"/>
      <c r="G36" s="71">
        <f>(0.3+0.7+0.5)/3</f>
        <v>0.5</v>
      </c>
      <c r="H36">
        <f>C36*G36</f>
        <v>0.11010958899999999</v>
      </c>
    </row>
    <row r="37" spans="1:15" ht="15.75" customHeight="1" x14ac:dyDescent="0.2">
      <c r="A37" s="37" t="s">
        <v>359</v>
      </c>
      <c r="B37" s="42" t="s">
        <v>456</v>
      </c>
      <c r="C37" s="47">
        <f>C31</f>
        <v>4.3890409999999998E-2</v>
      </c>
      <c r="E37" s="67"/>
      <c r="G37" s="71">
        <v>0.22</v>
      </c>
      <c r="H37">
        <f t="shared" ref="H37:H38" si="6">C37*G37</f>
        <v>9.6558901999999995E-3</v>
      </c>
    </row>
    <row r="38" spans="1:15" ht="15.75" customHeight="1" x14ac:dyDescent="0.2">
      <c r="A38" s="37" t="s">
        <v>361</v>
      </c>
      <c r="B38" t="s">
        <v>585</v>
      </c>
      <c r="C38" s="48">
        <f>C32*0.06</f>
        <v>3.9178082191780823E-2</v>
      </c>
      <c r="E38" s="67"/>
      <c r="G38" s="71">
        <v>0.22</v>
      </c>
      <c r="H38">
        <f t="shared" si="6"/>
        <v>8.6191780821917811E-3</v>
      </c>
    </row>
    <row r="39" spans="1:15" ht="15.75" customHeight="1" x14ac:dyDescent="0.2">
      <c r="A39" s="42"/>
      <c r="E39" s="67"/>
      <c r="F39" t="s">
        <v>583</v>
      </c>
    </row>
    <row r="40" spans="1:15" ht="15.75" customHeight="1" x14ac:dyDescent="0.2"/>
    <row r="41" spans="1:15" ht="15.75" customHeight="1" x14ac:dyDescent="0.2">
      <c r="G41" t="s">
        <v>462</v>
      </c>
      <c r="H41">
        <f>SUM(H36:H38)</f>
        <v>0.12838465728219178</v>
      </c>
    </row>
    <row r="42" spans="1:15" ht="15.75" customHeight="1" x14ac:dyDescent="0.2"/>
    <row r="43" spans="1:15" ht="15.75" customHeight="1" x14ac:dyDescent="0.2">
      <c r="G43" t="s">
        <v>463</v>
      </c>
      <c r="H43">
        <f>H33-H41</f>
        <v>0.22671145444578716</v>
      </c>
    </row>
    <row r="44" spans="1:15" ht="15.75" customHeight="1" x14ac:dyDescent="0.2">
      <c r="G44" t="s">
        <v>215</v>
      </c>
    </row>
    <row r="45" spans="1:15" ht="15.75" customHeight="1" x14ac:dyDescent="0.2"/>
    <row r="46" spans="1:15" ht="15.75" customHeight="1" x14ac:dyDescent="0.2">
      <c r="F46" s="46" t="s">
        <v>582</v>
      </c>
      <c r="H46" s="50">
        <f>H43+F15</f>
        <v>1.6867366599252391</v>
      </c>
    </row>
    <row r="47" spans="1:15" ht="15.75" customHeight="1" x14ac:dyDescent="0.2"/>
    <row r="48" spans="1:15" ht="15.75" customHeight="1" x14ac:dyDescent="0.2">
      <c r="D48" t="s">
        <v>314</v>
      </c>
      <c r="E48" t="s">
        <v>264</v>
      </c>
    </row>
    <row r="49" spans="1:9" ht="15.75" customHeight="1" x14ac:dyDescent="0.2">
      <c r="D49" t="s">
        <v>321</v>
      </c>
      <c r="E49" t="s">
        <v>275</v>
      </c>
      <c r="F49" t="s">
        <v>354</v>
      </c>
      <c r="H49" t="s">
        <v>355</v>
      </c>
    </row>
    <row r="50" spans="1:9" ht="15.75" customHeight="1" x14ac:dyDescent="0.2">
      <c r="D50" t="s">
        <v>322</v>
      </c>
      <c r="E50" t="s">
        <v>283</v>
      </c>
      <c r="H50" t="s">
        <v>356</v>
      </c>
    </row>
    <row r="51" spans="1:9" ht="15.75" customHeight="1" x14ac:dyDescent="0.2">
      <c r="D51" t="s">
        <v>357</v>
      </c>
      <c r="H51" t="s">
        <v>358</v>
      </c>
    </row>
    <row r="52" spans="1:9" ht="15.75" customHeight="1" x14ac:dyDescent="0.2">
      <c r="H52" t="s">
        <v>591</v>
      </c>
    </row>
    <row r="53" spans="1:9" ht="15.75" customHeight="1" x14ac:dyDescent="0.2">
      <c r="D53">
        <v>89</v>
      </c>
      <c r="E53">
        <f>D53*12/365</f>
        <v>2.9260273972602739</v>
      </c>
      <c r="F53">
        <f>H46/E53</f>
        <v>0.57645962628531111</v>
      </c>
      <c r="H53" s="115">
        <f>(100*F53)/8</f>
        <v>7.2057453285663886</v>
      </c>
      <c r="I53" s="59" t="s">
        <v>595</v>
      </c>
    </row>
    <row r="54" spans="1:9" ht="16" customHeight="1" x14ac:dyDescent="0.2">
      <c r="H54" s="67">
        <f>I84</f>
        <v>1762.9105107264513</v>
      </c>
      <c r="I54" s="59" t="s">
        <v>596</v>
      </c>
    </row>
    <row r="55" spans="1:9" ht="24" customHeight="1" x14ac:dyDescent="0.25">
      <c r="A55" s="58" t="s">
        <v>493</v>
      </c>
    </row>
    <row r="56" spans="1:9" ht="15.75" customHeight="1" x14ac:dyDescent="0.2">
      <c r="A56" t="s">
        <v>487</v>
      </c>
      <c r="H56" s="98">
        <f>H53+H54</f>
        <v>1770.1162560550176</v>
      </c>
      <c r="I56" t="s">
        <v>603</v>
      </c>
    </row>
    <row r="57" spans="1:9" ht="15.75" customHeight="1" x14ac:dyDescent="0.2"/>
    <row r="58" spans="1:9" ht="15.75" customHeight="1" x14ac:dyDescent="0.2">
      <c r="A58" s="54" t="s">
        <v>488</v>
      </c>
      <c r="B58" s="54" t="s">
        <v>489</v>
      </c>
      <c r="C58" s="54" t="s">
        <v>490</v>
      </c>
      <c r="D58" s="54" t="s">
        <v>491</v>
      </c>
      <c r="E58" s="54" t="s">
        <v>492</v>
      </c>
      <c r="F58" s="54"/>
    </row>
    <row r="59" spans="1:9" ht="15.75" customHeight="1" x14ac:dyDescent="0.2">
      <c r="A59" s="54"/>
      <c r="B59" s="54"/>
      <c r="C59" s="54"/>
      <c r="D59" s="54"/>
      <c r="E59" s="54"/>
      <c r="F59" s="54"/>
    </row>
    <row r="60" spans="1:9" ht="15.75" customHeight="1" x14ac:dyDescent="0.2">
      <c r="A60" s="55">
        <v>1500000000</v>
      </c>
      <c r="B60" s="55">
        <f>A60*0.907</f>
        <v>1360500000</v>
      </c>
      <c r="C60" s="55">
        <v>30000000</v>
      </c>
      <c r="D60" s="55">
        <v>12140000</v>
      </c>
      <c r="E60" s="56">
        <f>B60/D60</f>
        <v>112.0675453047776</v>
      </c>
      <c r="F60" s="54"/>
    </row>
    <row r="61" spans="1:9" ht="15.75" customHeight="1" x14ac:dyDescent="0.2">
      <c r="A61" s="55"/>
      <c r="B61" s="55"/>
      <c r="C61" s="55"/>
      <c r="D61" s="55"/>
      <c r="E61" s="55"/>
      <c r="F61" s="54"/>
    </row>
    <row r="62" spans="1:9" ht="15.75" customHeight="1" x14ac:dyDescent="0.2">
      <c r="A62" s="55"/>
      <c r="B62" s="55"/>
      <c r="C62" s="55"/>
      <c r="D62" s="55"/>
      <c r="E62" s="55"/>
      <c r="F62" s="54"/>
    </row>
    <row r="63" spans="1:9" ht="15.75" customHeight="1" x14ac:dyDescent="0.2">
      <c r="A63" s="55" t="s">
        <v>487</v>
      </c>
      <c r="B63" s="55"/>
      <c r="C63" s="55"/>
      <c r="D63" s="55"/>
      <c r="E63" s="55"/>
      <c r="F63" s="54"/>
    </row>
    <row r="64" spans="1:9" ht="15.75" customHeight="1" x14ac:dyDescent="0.2"/>
    <row r="65" spans="1:9" ht="15.75" customHeight="1" x14ac:dyDescent="0.2">
      <c r="A65" s="67" t="s">
        <v>493</v>
      </c>
    </row>
    <row r="66" spans="1:9" ht="15.75" customHeight="1" x14ac:dyDescent="0.2">
      <c r="A66" s="57" t="s">
        <v>494</v>
      </c>
    </row>
    <row r="67" spans="1:9" ht="15.75" customHeight="1" x14ac:dyDescent="0.2"/>
    <row r="68" spans="1:9" ht="15.75" customHeight="1" x14ac:dyDescent="0.2">
      <c r="A68" s="59" t="s">
        <v>598</v>
      </c>
    </row>
    <row r="69" spans="1:9" ht="15.75" customHeight="1" x14ac:dyDescent="0.2">
      <c r="I69" t="s">
        <v>355</v>
      </c>
    </row>
    <row r="70" spans="1:9" ht="15.75" customHeight="1" x14ac:dyDescent="0.2">
      <c r="A70" t="s">
        <v>495</v>
      </c>
      <c r="B70" t="s">
        <v>497</v>
      </c>
      <c r="C70" t="s">
        <v>504</v>
      </c>
      <c r="F70" t="s">
        <v>522</v>
      </c>
      <c r="G70" t="s">
        <v>600</v>
      </c>
      <c r="I70" t="s">
        <v>356</v>
      </c>
    </row>
    <row r="71" spans="1:9" ht="15.75" customHeight="1" x14ac:dyDescent="0.2">
      <c r="B71" t="s">
        <v>498</v>
      </c>
      <c r="D71" t="s">
        <v>593</v>
      </c>
      <c r="H71" t="s">
        <v>523</v>
      </c>
      <c r="I71" t="s">
        <v>358</v>
      </c>
    </row>
    <row r="72" spans="1:9" ht="15.75" customHeight="1" x14ac:dyDescent="0.2">
      <c r="I72" t="s">
        <v>60</v>
      </c>
    </row>
    <row r="73" spans="1:9" ht="15.75" customHeight="1" x14ac:dyDescent="0.2">
      <c r="B73" t="s">
        <v>496</v>
      </c>
    </row>
    <row r="74" spans="1:9" ht="15.75" customHeight="1" x14ac:dyDescent="0.2">
      <c r="A74">
        <v>200</v>
      </c>
      <c r="B74">
        <v>3.67</v>
      </c>
      <c r="C74">
        <f>A74*B74</f>
        <v>734</v>
      </c>
      <c r="D74">
        <f>C74-C80</f>
        <v>655.46199999999999</v>
      </c>
      <c r="F74">
        <f>D74*1000/10000</f>
        <v>65.546199999999999</v>
      </c>
      <c r="G74">
        <f>'7 Forest'!L53</f>
        <v>4.9093602465753428</v>
      </c>
      <c r="H74" s="44">
        <f>F74*G74</f>
        <v>321.78990859407673</v>
      </c>
      <c r="I74" s="44">
        <f>H74*H53/H46</f>
        <v>1374.687694719546</v>
      </c>
    </row>
    <row r="75" spans="1:9" ht="15.75" customHeight="1" x14ac:dyDescent="0.2"/>
    <row r="76" spans="1:9" ht="15.75" customHeight="1" x14ac:dyDescent="0.2">
      <c r="A76" s="59" t="s">
        <v>505</v>
      </c>
    </row>
    <row r="77" spans="1:9" ht="15.75" customHeight="1" x14ac:dyDescent="0.2">
      <c r="A77" t="s">
        <v>495</v>
      </c>
      <c r="B77" t="s">
        <v>497</v>
      </c>
      <c r="C77" t="s">
        <v>504</v>
      </c>
    </row>
    <row r="78" spans="1:9" ht="15.75" customHeight="1" x14ac:dyDescent="0.2">
      <c r="A78" s="60" t="s">
        <v>506</v>
      </c>
      <c r="B78" t="s">
        <v>498</v>
      </c>
    </row>
    <row r="79" spans="1:9" ht="15.75" customHeight="1" x14ac:dyDescent="0.2">
      <c r="I79" t="s">
        <v>355</v>
      </c>
    </row>
    <row r="80" spans="1:9" ht="15.75" customHeight="1" x14ac:dyDescent="0.2">
      <c r="A80">
        <v>21.4</v>
      </c>
      <c r="B80">
        <v>3.67</v>
      </c>
      <c r="C80">
        <f>A80*B80</f>
        <v>78.537999999999997</v>
      </c>
      <c r="G80" t="s">
        <v>601</v>
      </c>
      <c r="I80" t="s">
        <v>356</v>
      </c>
    </row>
    <row r="81" spans="1:10" ht="15" customHeight="1" x14ac:dyDescent="0.2">
      <c r="F81" t="s">
        <v>522</v>
      </c>
      <c r="H81" t="s">
        <v>523</v>
      </c>
      <c r="I81" t="s">
        <v>358</v>
      </c>
    </row>
    <row r="82" spans="1:10" ht="15.75" customHeight="1" x14ac:dyDescent="0.2">
      <c r="A82" s="59" t="s">
        <v>599</v>
      </c>
      <c r="I82" t="s">
        <v>60</v>
      </c>
    </row>
    <row r="83" spans="1:10" ht="15.75" customHeight="1" x14ac:dyDescent="0.2"/>
    <row r="84" spans="1:10" ht="15.75" customHeight="1" x14ac:dyDescent="0.2">
      <c r="F84">
        <f>F74</f>
        <v>65.546199999999999</v>
      </c>
      <c r="G84">
        <f>'7 Forest'!L73</f>
        <v>6.2958029033612313</v>
      </c>
      <c r="H84" s="44">
        <f>F84*G84</f>
        <v>412.66595626429591</v>
      </c>
      <c r="I84" s="44">
        <f>H84*H53/H46</f>
        <v>1762.9105107264513</v>
      </c>
    </row>
    <row r="85" spans="1:10" ht="15.75" customHeight="1" x14ac:dyDescent="0.2"/>
    <row r="86" spans="1:10" ht="15.75" customHeight="1" x14ac:dyDescent="0.2"/>
    <row r="87" spans="1:10" ht="15.75" customHeight="1" x14ac:dyDescent="0.2">
      <c r="A87" t="s">
        <v>609</v>
      </c>
      <c r="G87" t="s">
        <v>602</v>
      </c>
      <c r="I87" t="s">
        <v>630</v>
      </c>
      <c r="J87" t="s">
        <v>632</v>
      </c>
    </row>
    <row r="88" spans="1:10" ht="15.75" customHeight="1" x14ac:dyDescent="0.2">
      <c r="B88" t="s">
        <v>611</v>
      </c>
      <c r="H88" t="s">
        <v>629</v>
      </c>
      <c r="I88" t="s">
        <v>631</v>
      </c>
    </row>
    <row r="89" spans="1:10" ht="15.75" customHeight="1" x14ac:dyDescent="0.2">
      <c r="A89" t="s">
        <v>610</v>
      </c>
      <c r="B89" t="s">
        <v>610</v>
      </c>
      <c r="C89" t="s">
        <v>210</v>
      </c>
      <c r="H89">
        <v>2019</v>
      </c>
      <c r="I89">
        <v>2018</v>
      </c>
    </row>
    <row r="90" spans="1:10" ht="15.75" customHeight="1" x14ac:dyDescent="0.2">
      <c r="A90">
        <v>55.6</v>
      </c>
      <c r="B90">
        <v>5.3</v>
      </c>
      <c r="C90">
        <f>B90/A90</f>
        <v>9.5323741007194235E-2</v>
      </c>
    </row>
    <row r="91" spans="1:10" ht="15.75" customHeight="1" x14ac:dyDescent="0.2">
      <c r="H91" s="52">
        <f>'Summary sheet'!H24/1000</f>
        <v>119666.30573314174</v>
      </c>
      <c r="I91">
        <f>A90*1000000000</f>
        <v>55600000000</v>
      </c>
      <c r="J91" s="110">
        <f>H91/I91</f>
        <v>2.152271685847873E-6</v>
      </c>
    </row>
    <row r="92" spans="1:10" ht="15.75" customHeight="1" x14ac:dyDescent="0.2">
      <c r="A92" s="105" t="s">
        <v>612</v>
      </c>
    </row>
    <row r="93" spans="1:10" ht="15.75" customHeight="1" x14ac:dyDescent="0.2">
      <c r="B93" t="s">
        <v>613</v>
      </c>
    </row>
    <row r="94" spans="1:10" ht="15.75" customHeight="1" x14ac:dyDescent="0.2"/>
    <row r="95" spans="1:10" ht="15.75" customHeight="1" x14ac:dyDescent="0.2">
      <c r="A95" t="s">
        <v>659</v>
      </c>
    </row>
    <row r="96" spans="1:10" ht="15.75" customHeight="1" x14ac:dyDescent="0.2"/>
    <row r="97" spans="1:7" ht="15.75" customHeight="1" x14ac:dyDescent="0.2">
      <c r="A97" s="59" t="s">
        <v>660</v>
      </c>
    </row>
    <row r="98" spans="1:7" ht="15.75" customHeight="1" x14ac:dyDescent="0.2">
      <c r="A98" s="59" t="s">
        <v>425</v>
      </c>
    </row>
    <row r="99" spans="1:7" ht="15.75" customHeight="1" x14ac:dyDescent="0.2">
      <c r="A99" t="s">
        <v>365</v>
      </c>
    </row>
    <row r="100" spans="1:7" ht="15.75" customHeight="1" x14ac:dyDescent="0.2">
      <c r="A100" t="s">
        <v>60</v>
      </c>
      <c r="B100" t="s">
        <v>661</v>
      </c>
      <c r="C100" t="s">
        <v>662</v>
      </c>
    </row>
    <row r="101" spans="1:7" ht="15.75" customHeight="1" x14ac:dyDescent="0.2"/>
    <row r="102" spans="1:7" ht="15.75" customHeight="1" x14ac:dyDescent="0.2">
      <c r="A102">
        <f>'Summary sheet'!C82</f>
        <v>1380.9249278656134</v>
      </c>
      <c r="B102">
        <f>A102*8/100</f>
        <v>110.47399422924907</v>
      </c>
      <c r="C102" s="44">
        <f>B102*97/4313</f>
        <v>2.4845762671544542</v>
      </c>
    </row>
    <row r="103" spans="1:7" ht="15.75" customHeight="1" x14ac:dyDescent="0.2"/>
    <row r="104" spans="1:7" ht="15.75" customHeight="1" x14ac:dyDescent="0.2"/>
    <row r="105" spans="1:7" ht="15.75" customHeight="1" x14ac:dyDescent="0.2">
      <c r="B105" s="59" t="s">
        <v>898</v>
      </c>
    </row>
    <row r="106" spans="1:7" ht="15.75" customHeight="1" x14ac:dyDescent="0.2">
      <c r="D106" t="s">
        <v>900</v>
      </c>
      <c r="E106" t="s">
        <v>904</v>
      </c>
    </row>
    <row r="107" spans="1:7" ht="15.75" customHeight="1" x14ac:dyDescent="0.2">
      <c r="B107" t="s">
        <v>899</v>
      </c>
      <c r="D107" s="61">
        <v>53526302</v>
      </c>
      <c r="E107" s="61">
        <f>D107/365</f>
        <v>146647.40273972604</v>
      </c>
      <c r="F107" t="s">
        <v>902</v>
      </c>
      <c r="G107" t="s">
        <v>901</v>
      </c>
    </row>
    <row r="108" spans="1:7" ht="15.75" customHeight="1" x14ac:dyDescent="0.2"/>
    <row r="109" spans="1:7" ht="15.75" customHeight="1" x14ac:dyDescent="0.2">
      <c r="B109" t="s">
        <v>903</v>
      </c>
      <c r="E109">
        <f>'Summary sheet'!C24/1000000</f>
        <v>3.2342244792741008E-4</v>
      </c>
    </row>
    <row r="110" spans="1:7" ht="15.75" customHeight="1" x14ac:dyDescent="0.2"/>
    <row r="111" spans="1:7" ht="15.75" customHeight="1" x14ac:dyDescent="0.2">
      <c r="B111" t="s">
        <v>905</v>
      </c>
      <c r="E111" s="61">
        <f>E107/E109</f>
        <v>453423699.18812817</v>
      </c>
    </row>
    <row r="112" spans="1:7"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sheetData>
  <hyperlinks>
    <hyperlink ref="A78" r:id="rId1" xr:uid="{00000000-0004-0000-0A00-000000000000}"/>
  </hyperlinks>
  <pageMargins left="0.75" right="0.75" top="1" bottom="1" header="0" footer="0"/>
  <pageSetup paperSize="9" orientation="portrait"/>
  <legacy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I1000"/>
  <sheetViews>
    <sheetView topLeftCell="A10" zoomScale="200" zoomScaleNormal="200" zoomScalePageLayoutView="200" workbookViewId="0">
      <selection activeCell="G21" sqref="G21"/>
    </sheetView>
  </sheetViews>
  <sheetFormatPr baseColWidth="10" defaultColWidth="11.1640625" defaultRowHeight="15" customHeight="1" x14ac:dyDescent="0.2"/>
  <cols>
    <col min="1" max="1" width="15.6640625" customWidth="1"/>
    <col min="2" max="2" width="24" customWidth="1"/>
    <col min="3" max="3" width="11" customWidth="1"/>
    <col min="4" max="4" width="10.1640625" customWidth="1"/>
    <col min="5" max="5" width="12.6640625" customWidth="1"/>
    <col min="6" max="6" width="14" customWidth="1"/>
    <col min="7" max="7" width="10.5" customWidth="1"/>
    <col min="8" max="8" width="7.33203125" customWidth="1"/>
    <col min="9" max="9" width="8.83203125" customWidth="1"/>
    <col min="10" max="26" width="10.5" customWidth="1"/>
  </cols>
  <sheetData>
    <row r="2" spans="1:9" ht="16" x14ac:dyDescent="0.2">
      <c r="A2" s="2" t="s">
        <v>363</v>
      </c>
      <c r="B2" s="16" t="s">
        <v>364</v>
      </c>
    </row>
    <row r="4" spans="1:9" ht="16" x14ac:dyDescent="0.2">
      <c r="B4" t="s">
        <v>365</v>
      </c>
      <c r="C4" t="s">
        <v>366</v>
      </c>
      <c r="D4" t="s">
        <v>367</v>
      </c>
      <c r="H4" t="s">
        <v>368</v>
      </c>
    </row>
    <row r="5" spans="1:9" ht="16" x14ac:dyDescent="0.2">
      <c r="B5" t="s">
        <v>369</v>
      </c>
      <c r="C5" t="s">
        <v>369</v>
      </c>
      <c r="D5" t="s">
        <v>369</v>
      </c>
      <c r="E5" t="s">
        <v>370</v>
      </c>
      <c r="F5" t="s">
        <v>371</v>
      </c>
      <c r="G5" t="s">
        <v>372</v>
      </c>
    </row>
    <row r="6" spans="1:9" ht="16" x14ac:dyDescent="0.2">
      <c r="G6" t="s">
        <v>373</v>
      </c>
    </row>
    <row r="7" spans="1:9" ht="16" x14ac:dyDescent="0.2">
      <c r="B7" t="s">
        <v>374</v>
      </c>
      <c r="C7" s="38" t="s">
        <v>375</v>
      </c>
    </row>
    <row r="9" spans="1:9" ht="16" x14ac:dyDescent="0.2">
      <c r="B9">
        <v>1050</v>
      </c>
      <c r="C9">
        <v>2100</v>
      </c>
      <c r="D9">
        <f>C9-B9</f>
        <v>1050</v>
      </c>
      <c r="E9">
        <f>D9/365</f>
        <v>2.8767123287671232</v>
      </c>
      <c r="F9">
        <f>E9*1000</f>
        <v>2876.7123287671234</v>
      </c>
      <c r="G9">
        <v>6</v>
      </c>
      <c r="H9">
        <f>F9/G9</f>
        <v>479.45205479452056</v>
      </c>
    </row>
    <row r="11" spans="1:9" ht="16" x14ac:dyDescent="0.2">
      <c r="A11" t="s">
        <v>376</v>
      </c>
      <c r="C11" t="s">
        <v>377</v>
      </c>
    </row>
    <row r="13" spans="1:9" ht="16" x14ac:dyDescent="0.2">
      <c r="B13" s="17"/>
      <c r="C13" s="17" t="s">
        <v>117</v>
      </c>
      <c r="D13" t="s">
        <v>379</v>
      </c>
      <c r="E13" t="s">
        <v>380</v>
      </c>
      <c r="F13" t="s">
        <v>381</v>
      </c>
      <c r="G13" t="s">
        <v>5</v>
      </c>
      <c r="H13" t="s">
        <v>382</v>
      </c>
      <c r="I13" t="s">
        <v>383</v>
      </c>
    </row>
    <row r="14" spans="1:9" ht="16" x14ac:dyDescent="0.2">
      <c r="B14" s="17"/>
      <c r="C14" s="17"/>
      <c r="G14" t="s">
        <v>381</v>
      </c>
      <c r="H14" t="s">
        <v>384</v>
      </c>
    </row>
    <row r="15" spans="1:9" ht="16" x14ac:dyDescent="0.2">
      <c r="B15" s="17" t="s">
        <v>121</v>
      </c>
      <c r="C15" s="18">
        <v>3.7999999999999999E-2</v>
      </c>
      <c r="D15">
        <v>15415</v>
      </c>
      <c r="E15">
        <v>15400</v>
      </c>
      <c r="F15">
        <f>E15*C15</f>
        <v>585.19999999999993</v>
      </c>
      <c r="G15">
        <f>F15+F16+F17+F18</f>
        <v>1306.1799999999998</v>
      </c>
    </row>
    <row r="16" spans="1:9" ht="16" x14ac:dyDescent="0.2">
      <c r="B16" s="17" t="s">
        <v>122</v>
      </c>
      <c r="C16" s="18">
        <v>0.06</v>
      </c>
      <c r="D16">
        <v>5988</v>
      </c>
      <c r="E16">
        <v>6000</v>
      </c>
      <c r="F16">
        <f t="shared" ref="F16:F18" si="0">E16*C16</f>
        <v>360</v>
      </c>
    </row>
    <row r="17" spans="1:9" ht="16" x14ac:dyDescent="0.2">
      <c r="B17" s="17" t="s">
        <v>89</v>
      </c>
      <c r="C17" s="18">
        <v>7.4999999999999997E-2</v>
      </c>
      <c r="D17">
        <v>4325</v>
      </c>
      <c r="E17">
        <v>4300</v>
      </c>
      <c r="F17">
        <f t="shared" si="0"/>
        <v>322.5</v>
      </c>
    </row>
    <row r="18" spans="1:9" ht="16" x14ac:dyDescent="0.2">
      <c r="B18" s="17" t="s">
        <v>123</v>
      </c>
      <c r="C18" s="18">
        <v>3.7000000000000002E-3</v>
      </c>
      <c r="D18">
        <v>8763</v>
      </c>
      <c r="E18">
        <v>10400</v>
      </c>
      <c r="F18">
        <f t="shared" si="0"/>
        <v>38.480000000000004</v>
      </c>
    </row>
    <row r="20" spans="1:9" ht="16" x14ac:dyDescent="0.2">
      <c r="B20" s="17" t="s">
        <v>470</v>
      </c>
      <c r="C20" s="18">
        <f>SUM(C15:C18)</f>
        <v>0.1767</v>
      </c>
      <c r="E20">
        <v>2523</v>
      </c>
      <c r="F20">
        <f>E20*C20</f>
        <v>445.8141</v>
      </c>
      <c r="G20" s="44">
        <f>G15-F20</f>
        <v>860.36589999999978</v>
      </c>
      <c r="H20">
        <v>6</v>
      </c>
      <c r="I20" s="6">
        <f>G20/H20</f>
        <v>143.39431666666664</v>
      </c>
    </row>
    <row r="21" spans="1:9" ht="15.75" customHeight="1" x14ac:dyDescent="0.2">
      <c r="B21" t="s">
        <v>471</v>
      </c>
    </row>
    <row r="22" spans="1:9" ht="15.75" customHeight="1" x14ac:dyDescent="0.2"/>
    <row r="23" spans="1:9" ht="15.75" customHeight="1" x14ac:dyDescent="0.2">
      <c r="A23" s="37" t="s">
        <v>343</v>
      </c>
      <c r="B23" t="s">
        <v>377</v>
      </c>
    </row>
    <row r="24" spans="1:9" ht="15.75" customHeight="1" x14ac:dyDescent="0.2">
      <c r="C24" s="34" t="s">
        <v>344</v>
      </c>
      <c r="E24" t="s">
        <v>468</v>
      </c>
      <c r="F24" t="s">
        <v>381</v>
      </c>
      <c r="G24" t="s">
        <v>329</v>
      </c>
    </row>
    <row r="25" spans="1:9" ht="15.75" customHeight="1" x14ac:dyDescent="0.2">
      <c r="C25" s="34" t="s">
        <v>345</v>
      </c>
      <c r="E25" t="s">
        <v>380</v>
      </c>
    </row>
    <row r="26" spans="1:9" ht="15.75" customHeight="1" x14ac:dyDescent="0.2">
      <c r="A26" s="43" t="s">
        <v>457</v>
      </c>
      <c r="C26" s="47">
        <v>0.22021917799999999</v>
      </c>
      <c r="E26">
        <v>1020</v>
      </c>
      <c r="F26">
        <f>C26*E26</f>
        <v>224.62356155999998</v>
      </c>
      <c r="G26">
        <f>SUM(F26:F28)</f>
        <v>596.26344664616431</v>
      </c>
    </row>
    <row r="27" spans="1:9" ht="15.75" customHeight="1" x14ac:dyDescent="0.2">
      <c r="A27" s="37" t="s">
        <v>359</v>
      </c>
      <c r="C27" s="47">
        <f>0.008136986+0.035753424</f>
        <v>4.3890409999999998E-2</v>
      </c>
      <c r="E27">
        <v>5553</v>
      </c>
      <c r="F27">
        <f t="shared" ref="F27:F28" si="1">C27*E27</f>
        <v>243.72344672999998</v>
      </c>
    </row>
    <row r="28" spans="1:9" ht="15.75" customHeight="1" x14ac:dyDescent="0.2">
      <c r="A28" s="42" t="s">
        <v>467</v>
      </c>
      <c r="C28" s="48">
        <f>(14.3/365)</f>
        <v>3.9178082191780823E-2</v>
      </c>
      <c r="E28">
        <v>3265</v>
      </c>
      <c r="F28">
        <f t="shared" si="1"/>
        <v>127.91643835616439</v>
      </c>
    </row>
    <row r="29" spans="1:9" ht="15.75" customHeight="1" x14ac:dyDescent="0.2">
      <c r="A29" s="42"/>
      <c r="C29" s="47"/>
    </row>
    <row r="30" spans="1:9" ht="15.75" customHeight="1" x14ac:dyDescent="0.2">
      <c r="B30" s="37"/>
      <c r="C30" s="34" t="s">
        <v>344</v>
      </c>
      <c r="E30" t="s">
        <v>380</v>
      </c>
      <c r="F30" t="s">
        <v>381</v>
      </c>
      <c r="G30" t="s">
        <v>474</v>
      </c>
    </row>
    <row r="31" spans="1:9" ht="15.75" customHeight="1" x14ac:dyDescent="0.2">
      <c r="B31" s="41" t="s">
        <v>454</v>
      </c>
      <c r="C31" s="34" t="s">
        <v>345</v>
      </c>
    </row>
    <row r="32" spans="1:9" ht="15.75" customHeight="1" x14ac:dyDescent="0.2">
      <c r="A32" s="37" t="s">
        <v>362</v>
      </c>
      <c r="B32" s="42" t="s">
        <v>455</v>
      </c>
      <c r="C32" s="47">
        <v>0.22021917799999999</v>
      </c>
      <c r="E32">
        <f>(28+48+371)/3</f>
        <v>149</v>
      </c>
      <c r="F32">
        <f>C32*E32</f>
        <v>32.812657521999995</v>
      </c>
      <c r="G32">
        <f>SUM(F32:F34)</f>
        <v>242.39446332186299</v>
      </c>
      <c r="I32" t="s">
        <v>469</v>
      </c>
    </row>
    <row r="33" spans="1:7" ht="15.75" customHeight="1" x14ac:dyDescent="0.2">
      <c r="A33" s="37" t="s">
        <v>359</v>
      </c>
      <c r="B33" s="42" t="s">
        <v>470</v>
      </c>
      <c r="C33" s="47">
        <f>C27</f>
        <v>4.3890409999999998E-2</v>
      </c>
      <c r="E33">
        <v>2523</v>
      </c>
      <c r="F33">
        <f t="shared" ref="F33:F34" si="2">C33*E33</f>
        <v>110.73550442999999</v>
      </c>
    </row>
    <row r="34" spans="1:7" ht="15.75" customHeight="1" x14ac:dyDescent="0.2">
      <c r="A34" s="37" t="s">
        <v>361</v>
      </c>
      <c r="B34" t="s">
        <v>470</v>
      </c>
      <c r="C34" s="48">
        <f>14.3/365</f>
        <v>3.9178082191780823E-2</v>
      </c>
      <c r="E34">
        <v>2523</v>
      </c>
      <c r="F34">
        <f t="shared" si="2"/>
        <v>98.846301369863014</v>
      </c>
    </row>
    <row r="35" spans="1:7" ht="15.75" customHeight="1" x14ac:dyDescent="0.2"/>
    <row r="36" spans="1:7" ht="15.75" customHeight="1" x14ac:dyDescent="0.2">
      <c r="F36" t="s">
        <v>472</v>
      </c>
      <c r="G36">
        <f>G26-G32</f>
        <v>353.86898332430133</v>
      </c>
    </row>
    <row r="37" spans="1:7" ht="15.75" customHeight="1" x14ac:dyDescent="0.2"/>
    <row r="38" spans="1:7" ht="15.75" customHeight="1" x14ac:dyDescent="0.2">
      <c r="E38" s="44" t="s">
        <v>473</v>
      </c>
      <c r="F38" s="44"/>
      <c r="G38" s="44">
        <f>G36+G20</f>
        <v>1214.2348833243011</v>
      </c>
    </row>
    <row r="39" spans="1:7" ht="15.75" customHeight="1" x14ac:dyDescent="0.2"/>
    <row r="40" spans="1:7" ht="15.75" customHeight="1" x14ac:dyDescent="0.2">
      <c r="A40" t="s">
        <v>633</v>
      </c>
      <c r="B40" t="s">
        <v>636</v>
      </c>
      <c r="E40" t="s">
        <v>636</v>
      </c>
    </row>
    <row r="41" spans="1:7" ht="15.75" customHeight="1" x14ac:dyDescent="0.2">
      <c r="A41" t="s">
        <v>634</v>
      </c>
    </row>
    <row r="42" spans="1:7" ht="15.75" customHeight="1" x14ac:dyDescent="0.2">
      <c r="A42" t="s">
        <v>635</v>
      </c>
      <c r="B42" t="s">
        <v>637</v>
      </c>
      <c r="C42" t="s">
        <v>638</v>
      </c>
      <c r="D42" t="s">
        <v>635</v>
      </c>
      <c r="E42" t="s">
        <v>639</v>
      </c>
    </row>
    <row r="43" spans="1:7" ht="15.75" customHeight="1" x14ac:dyDescent="0.2"/>
    <row r="44" spans="1:7" ht="15.75" customHeight="1" x14ac:dyDescent="0.2">
      <c r="A44">
        <v>3800</v>
      </c>
      <c r="B44" s="61">
        <f>'Summary sheet'!H33</f>
        <v>318335382.99999994</v>
      </c>
      <c r="C44">
        <f>B44/1000</f>
        <v>318335.38299999991</v>
      </c>
      <c r="D44">
        <f>C44/1000000000</f>
        <v>3.1833538299999993E-4</v>
      </c>
      <c r="E44" s="110">
        <f>D44/A44</f>
        <v>8.3772469210526292E-8</v>
      </c>
    </row>
    <row r="45" spans="1:7" ht="15.75" customHeight="1" x14ac:dyDescent="0.2"/>
    <row r="46" spans="1:7" ht="15.75" customHeight="1" x14ac:dyDescent="0.2"/>
    <row r="47" spans="1:7" ht="15.75" customHeight="1" x14ac:dyDescent="0.2"/>
    <row r="48" spans="1:7"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5" right="0.75" top="1" bottom="1" header="0" footer="0"/>
  <pageSetup paperSize="9" orientation="portrait"/>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H1004"/>
  <sheetViews>
    <sheetView topLeftCell="A11" zoomScale="200" zoomScaleNormal="200" zoomScalePageLayoutView="200" workbookViewId="0">
      <selection activeCell="B27" sqref="B27"/>
    </sheetView>
  </sheetViews>
  <sheetFormatPr baseColWidth="10" defaultColWidth="11.1640625" defaultRowHeight="15" customHeight="1" x14ac:dyDescent="0.2"/>
  <cols>
    <col min="1" max="1" width="10.5" customWidth="1"/>
    <col min="2" max="2" width="22.5" customWidth="1"/>
    <col min="3" max="26" width="10.5" customWidth="1"/>
  </cols>
  <sheetData>
    <row r="1" spans="2:7" ht="16" x14ac:dyDescent="0.2">
      <c r="D1" t="s">
        <v>378</v>
      </c>
      <c r="E1" s="153" t="s">
        <v>1084</v>
      </c>
    </row>
    <row r="2" spans="2:7" ht="15" customHeight="1" x14ac:dyDescent="0.2">
      <c r="E2" s="153" t="s">
        <v>1085</v>
      </c>
    </row>
    <row r="3" spans="2:7" ht="16" x14ac:dyDescent="0.2">
      <c r="B3" s="17"/>
      <c r="C3" s="17" t="s">
        <v>117</v>
      </c>
      <c r="E3" s="17" t="s">
        <v>117</v>
      </c>
    </row>
    <row r="4" spans="2:7" ht="16" x14ac:dyDescent="0.2">
      <c r="B4" s="17"/>
      <c r="C4" s="17"/>
    </row>
    <row r="5" spans="2:7" ht="16" x14ac:dyDescent="0.2">
      <c r="B5" s="17" t="s">
        <v>121</v>
      </c>
      <c r="C5" s="18">
        <v>3.7999999999999999E-2</v>
      </c>
      <c r="E5" s="124">
        <f>C5+C6+C8</f>
        <v>0.1017</v>
      </c>
    </row>
    <row r="6" spans="2:7" ht="16" x14ac:dyDescent="0.2">
      <c r="B6" s="17" t="s">
        <v>122</v>
      </c>
      <c r="C6" s="18">
        <v>0.06</v>
      </c>
    </row>
    <row r="7" spans="2:7" ht="16" x14ac:dyDescent="0.2">
      <c r="B7" s="17" t="s">
        <v>89</v>
      </c>
      <c r="C7" s="18">
        <v>7.4999999999999997E-2</v>
      </c>
    </row>
    <row r="8" spans="2:7" ht="16" x14ac:dyDescent="0.2">
      <c r="B8" s="17" t="s">
        <v>123</v>
      </c>
      <c r="C8" s="18">
        <v>3.7000000000000002E-3</v>
      </c>
    </row>
    <row r="10" spans="2:7" ht="16" x14ac:dyDescent="0.2">
      <c r="B10" s="17" t="s">
        <v>26</v>
      </c>
      <c r="C10">
        <v>5.8999999999999997E-2</v>
      </c>
    </row>
    <row r="12" spans="2:7" ht="16" x14ac:dyDescent="0.2">
      <c r="B12" s="17" t="s">
        <v>854</v>
      </c>
      <c r="C12" s="18">
        <f>SUM(C5:C10)</f>
        <v>0.23569999999999999</v>
      </c>
      <c r="F12" t="s">
        <v>385</v>
      </c>
    </row>
    <row r="13" spans="2:7" ht="16" x14ac:dyDescent="0.2">
      <c r="B13" t="s">
        <v>855</v>
      </c>
      <c r="C13">
        <f>C12*365</f>
        <v>86.030500000000004</v>
      </c>
      <c r="G13" t="s">
        <v>386</v>
      </c>
    </row>
    <row r="15" spans="2:7" ht="16" x14ac:dyDescent="0.2">
      <c r="B15" t="s">
        <v>852</v>
      </c>
      <c r="C15" s="124">
        <f>SUM(C5:C8)</f>
        <v>0.1767</v>
      </c>
    </row>
    <row r="16" spans="2:7" ht="16" x14ac:dyDescent="0.2">
      <c r="B16" t="s">
        <v>853</v>
      </c>
      <c r="C16">
        <f>C15*365</f>
        <v>64.495499999999993</v>
      </c>
    </row>
    <row r="18" spans="2:8" ht="16" x14ac:dyDescent="0.2">
      <c r="B18" t="s">
        <v>387</v>
      </c>
      <c r="C18" s="39" t="s">
        <v>388</v>
      </c>
    </row>
    <row r="19" spans="2:8" ht="16" x14ac:dyDescent="0.2">
      <c r="B19" t="s">
        <v>389</v>
      </c>
      <c r="C19" s="39" t="s">
        <v>388</v>
      </c>
      <c r="D19" t="s">
        <v>390</v>
      </c>
      <c r="E19" t="s">
        <v>391</v>
      </c>
    </row>
    <row r="20" spans="2:8" ht="16" x14ac:dyDescent="0.2">
      <c r="E20" t="s">
        <v>392</v>
      </c>
      <c r="H20">
        <f>F20*G20</f>
        <v>0</v>
      </c>
    </row>
    <row r="21" spans="2:8" ht="16" x14ac:dyDescent="0.2">
      <c r="E21" t="s">
        <v>393</v>
      </c>
    </row>
    <row r="23" spans="2:8" ht="16" x14ac:dyDescent="0.2">
      <c r="G23" t="s">
        <v>329</v>
      </c>
      <c r="H23">
        <f>SUM(H19:H21)</f>
        <v>0</v>
      </c>
    </row>
    <row r="25" spans="2:8" ht="15.75" customHeight="1" x14ac:dyDescent="0.2">
      <c r="B25" s="153" t="s">
        <v>1088</v>
      </c>
    </row>
    <row r="26" spans="2:8" ht="15.75" customHeight="1" x14ac:dyDescent="0.2">
      <c r="B26">
        <v>79.3</v>
      </c>
      <c r="C26" t="s">
        <v>1087</v>
      </c>
    </row>
    <row r="27" spans="2:8" ht="15.75" customHeight="1" x14ac:dyDescent="0.2"/>
    <row r="28" spans="2:8" ht="15.75" customHeight="1" x14ac:dyDescent="0.2"/>
    <row r="29" spans="2:8" ht="15.75" customHeight="1" x14ac:dyDescent="0.2"/>
    <row r="30" spans="2:8" ht="15.75" customHeight="1" x14ac:dyDescent="0.2"/>
    <row r="31" spans="2:8" ht="15.75" customHeight="1" x14ac:dyDescent="0.2"/>
    <row r="32" spans="2:8"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sheetData>
  <pageMargins left="0.75" right="0.75" top="1" bottom="1" header="0" footer="0"/>
  <pageSetup paperSize="9" orientation="portrait"/>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G1000"/>
  <sheetViews>
    <sheetView workbookViewId="0"/>
  </sheetViews>
  <sheetFormatPr baseColWidth="10" defaultColWidth="11.1640625" defaultRowHeight="15" customHeight="1" x14ac:dyDescent="0.2"/>
  <cols>
    <col min="1" max="26" width="10.5" customWidth="1"/>
  </cols>
  <sheetData>
    <row r="2" spans="2:7" ht="16" x14ac:dyDescent="0.2">
      <c r="D2" t="s">
        <v>394</v>
      </c>
    </row>
    <row r="3" spans="2:7" ht="16" x14ac:dyDescent="0.2">
      <c r="B3" t="s">
        <v>310</v>
      </c>
      <c r="C3" t="s">
        <v>265</v>
      </c>
    </row>
    <row r="4" spans="2:7" ht="16" x14ac:dyDescent="0.2">
      <c r="B4" t="s">
        <v>395</v>
      </c>
      <c r="C4" t="s">
        <v>322</v>
      </c>
      <c r="D4" t="s">
        <v>396</v>
      </c>
      <c r="E4" t="s">
        <v>396</v>
      </c>
      <c r="G4" s="21" t="s">
        <v>397</v>
      </c>
    </row>
    <row r="5" spans="2:7" ht="16" x14ac:dyDescent="0.2">
      <c r="D5" t="s">
        <v>398</v>
      </c>
      <c r="E5" t="s">
        <v>398</v>
      </c>
      <c r="F5" t="s">
        <v>344</v>
      </c>
      <c r="G5" s="21" t="s">
        <v>399</v>
      </c>
    </row>
    <row r="6" spans="2:7" ht="16" x14ac:dyDescent="0.2">
      <c r="D6" t="s">
        <v>322</v>
      </c>
      <c r="E6" t="s">
        <v>399</v>
      </c>
      <c r="F6" t="s">
        <v>400</v>
      </c>
      <c r="G6" s="21" t="s">
        <v>401</v>
      </c>
    </row>
    <row r="7" spans="2:7" ht="16" x14ac:dyDescent="0.2">
      <c r="D7" t="s">
        <v>402</v>
      </c>
      <c r="E7" t="s">
        <v>402</v>
      </c>
      <c r="F7" t="s">
        <v>399</v>
      </c>
      <c r="G7" s="21" t="s">
        <v>257</v>
      </c>
    </row>
    <row r="8" spans="2:7" ht="16" x14ac:dyDescent="0.2">
      <c r="F8" t="s">
        <v>403</v>
      </c>
      <c r="G8" s="21"/>
    </row>
    <row r="9" spans="2:7" ht="16" x14ac:dyDescent="0.2">
      <c r="G9" s="21"/>
    </row>
    <row r="10" spans="2:7" ht="16" x14ac:dyDescent="0.2">
      <c r="B10">
        <v>6313</v>
      </c>
      <c r="C10">
        <v>279</v>
      </c>
      <c r="D10">
        <f>B10-C10</f>
        <v>6034</v>
      </c>
      <c r="E10">
        <f>D10*12/365</f>
        <v>198.37808219178083</v>
      </c>
      <c r="F10">
        <v>5.8999999999999997E-2</v>
      </c>
      <c r="G10" s="6">
        <f>E10*F10</f>
        <v>11.704306849315069</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5" right="0.75" top="1" bottom="1" header="0" footer="0"/>
  <pageSetup paperSize="9" orientation="portrait"/>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020"/>
  <sheetViews>
    <sheetView topLeftCell="A77" zoomScale="200" zoomScaleNormal="200" zoomScalePageLayoutView="200" workbookViewId="0">
      <selection activeCell="A3" sqref="A3"/>
    </sheetView>
  </sheetViews>
  <sheetFormatPr baseColWidth="10" defaultColWidth="11.1640625" defaultRowHeight="15" customHeight="1" x14ac:dyDescent="0.2"/>
  <cols>
    <col min="1" max="1" width="21.33203125" customWidth="1"/>
    <col min="2" max="5" width="10.5" customWidth="1"/>
    <col min="6" max="6" width="17.33203125" customWidth="1"/>
    <col min="7" max="7" width="10.5" customWidth="1"/>
    <col min="8" max="8" width="20" customWidth="1"/>
    <col min="9" max="9" width="12.83203125" customWidth="1"/>
    <col min="10" max="26" width="10.5" customWidth="1"/>
  </cols>
  <sheetData>
    <row r="1" spans="1:2" ht="15" customHeight="1" x14ac:dyDescent="0.2">
      <c r="A1">
        <v>1</v>
      </c>
      <c r="B1" t="s">
        <v>1021</v>
      </c>
    </row>
    <row r="2" spans="1:2" ht="15" customHeight="1" x14ac:dyDescent="0.2">
      <c r="A2">
        <v>2</v>
      </c>
      <c r="B2" t="s">
        <v>1022</v>
      </c>
    </row>
    <row r="3" spans="1:2" ht="15" customHeight="1" x14ac:dyDescent="0.2">
      <c r="A3">
        <v>3</v>
      </c>
      <c r="B3" t="s">
        <v>1023</v>
      </c>
    </row>
    <row r="4" spans="1:2" ht="15" customHeight="1" x14ac:dyDescent="0.2">
      <c r="A4">
        <v>4</v>
      </c>
      <c r="B4" t="s">
        <v>43</v>
      </c>
    </row>
    <row r="5" spans="1:2" ht="15" customHeight="1" x14ac:dyDescent="0.2">
      <c r="A5">
        <v>5</v>
      </c>
      <c r="B5" t="s">
        <v>1024</v>
      </c>
    </row>
    <row r="6" spans="1:2" ht="15" customHeight="1" x14ac:dyDescent="0.2">
      <c r="A6">
        <v>6</v>
      </c>
      <c r="B6" t="s">
        <v>443</v>
      </c>
    </row>
    <row r="7" spans="1:2" ht="15" customHeight="1" x14ac:dyDescent="0.2">
      <c r="A7">
        <v>7</v>
      </c>
      <c r="B7" t="s">
        <v>1025</v>
      </c>
    </row>
    <row r="9" spans="1:2" ht="15" customHeight="1" x14ac:dyDescent="0.2">
      <c r="A9" t="s">
        <v>528</v>
      </c>
    </row>
    <row r="21" spans="1:7" ht="16" x14ac:dyDescent="0.2">
      <c r="A21" t="s">
        <v>404</v>
      </c>
      <c r="F21" t="s">
        <v>405</v>
      </c>
    </row>
    <row r="22" spans="1:7" ht="16" x14ac:dyDescent="0.2">
      <c r="F22">
        <f>SUM(F25:F38)</f>
        <v>16.855657382663775</v>
      </c>
    </row>
    <row r="25" spans="1:7" ht="16" x14ac:dyDescent="0.2">
      <c r="A25" s="4" t="s">
        <v>63</v>
      </c>
      <c r="B25" s="4"/>
      <c r="C25" s="4" t="s">
        <v>9</v>
      </c>
      <c r="D25" s="5">
        <v>46.15</v>
      </c>
    </row>
    <row r="26" spans="1:7" ht="16" x14ac:dyDescent="0.2">
      <c r="A26" s="4" t="s">
        <v>406</v>
      </c>
      <c r="B26" s="4"/>
      <c r="C26" s="4"/>
      <c r="D26" s="5"/>
      <c r="F26" s="40">
        <f>B52</f>
        <v>8.6189053674993517</v>
      </c>
      <c r="G26" s="21"/>
    </row>
    <row r="27" spans="1:7" ht="16" x14ac:dyDescent="0.2">
      <c r="A27" s="4" t="s">
        <v>69</v>
      </c>
      <c r="B27" s="4"/>
      <c r="C27" s="4" t="s">
        <v>65</v>
      </c>
      <c r="D27" s="5">
        <f>'2 Saving Money'!D16</f>
        <v>0.74714285714285722</v>
      </c>
      <c r="F27">
        <f>D27/0.75</f>
        <v>0.99619047619047629</v>
      </c>
    </row>
    <row r="28" spans="1:7" ht="16" x14ac:dyDescent="0.2">
      <c r="A28" s="4" t="s">
        <v>74</v>
      </c>
      <c r="B28" s="4"/>
      <c r="C28" s="4" t="s">
        <v>75</v>
      </c>
      <c r="D28">
        <v>3.6769999999999997E-2</v>
      </c>
      <c r="F28">
        <f>1/0.75</f>
        <v>1.3333333333333333</v>
      </c>
    </row>
    <row r="29" spans="1:7" ht="16" x14ac:dyDescent="0.2">
      <c r="A29" s="4" t="s">
        <v>232</v>
      </c>
      <c r="B29" s="4"/>
      <c r="C29" s="4" t="s">
        <v>79</v>
      </c>
      <c r="D29">
        <v>1.3109999999999999E-4</v>
      </c>
    </row>
    <row r="30" spans="1:7" ht="16" x14ac:dyDescent="0.2">
      <c r="A30" s="4" t="s">
        <v>89</v>
      </c>
      <c r="B30" s="4"/>
      <c r="C30" s="4" t="s">
        <v>90</v>
      </c>
      <c r="D30">
        <v>6.4000000000000001E-2</v>
      </c>
    </row>
    <row r="31" spans="1:7" ht="16" x14ac:dyDescent="0.2">
      <c r="A31" s="4" t="s">
        <v>26</v>
      </c>
      <c r="B31" s="4"/>
      <c r="C31" s="4" t="s">
        <v>101</v>
      </c>
      <c r="D31">
        <v>1.04</v>
      </c>
      <c r="F31">
        <f>B61</f>
        <v>1.77</v>
      </c>
      <c r="G31" s="21"/>
    </row>
    <row r="32" spans="1:7" ht="16" x14ac:dyDescent="0.2">
      <c r="A32" s="4" t="s">
        <v>43</v>
      </c>
      <c r="B32" s="4"/>
      <c r="C32" s="4" t="s">
        <v>58</v>
      </c>
      <c r="D32">
        <v>4.6900000000000004</v>
      </c>
      <c r="F32">
        <f>D32*G56</f>
        <v>2.8144535052377118E-2</v>
      </c>
    </row>
    <row r="33" spans="1:9" ht="16" x14ac:dyDescent="0.2">
      <c r="A33" s="4" t="s">
        <v>407</v>
      </c>
      <c r="B33" s="4"/>
      <c r="C33" s="4" t="s">
        <v>58</v>
      </c>
      <c r="D33">
        <v>4.6900000000000004</v>
      </c>
      <c r="F33">
        <f>E86*D32</f>
        <v>2.7014400000000007</v>
      </c>
    </row>
    <row r="34" spans="1:9" ht="16" x14ac:dyDescent="0.2">
      <c r="A34" s="4" t="s">
        <v>113</v>
      </c>
      <c r="B34" s="4"/>
      <c r="C34" s="4" t="s">
        <v>114</v>
      </c>
      <c r="D34">
        <v>5.64</v>
      </c>
      <c r="F34">
        <f>F66</f>
        <v>2.5267200000000004E-2</v>
      </c>
    </row>
    <row r="35" spans="1:9" ht="16" x14ac:dyDescent="0.2">
      <c r="A35" s="4" t="s">
        <v>160</v>
      </c>
      <c r="B35" s="4"/>
      <c r="C35" s="4"/>
      <c r="I35" s="40"/>
    </row>
    <row r="36" spans="1:9" ht="16" x14ac:dyDescent="0.2">
      <c r="A36" s="4"/>
      <c r="B36" s="4"/>
      <c r="C36" s="19" t="s">
        <v>59</v>
      </c>
      <c r="D36">
        <v>590</v>
      </c>
      <c r="F36">
        <f>D36*B79</f>
        <v>4.7200000000000006E-2</v>
      </c>
      <c r="I36" s="40"/>
    </row>
    <row r="37" spans="1:9" ht="16" x14ac:dyDescent="0.2">
      <c r="A37" s="4"/>
      <c r="B37" s="4"/>
      <c r="C37" s="4"/>
    </row>
    <row r="38" spans="1:9" ht="16" x14ac:dyDescent="0.2">
      <c r="A38" s="4" t="s">
        <v>175</v>
      </c>
      <c r="B38" s="4"/>
      <c r="C38" s="4" t="s">
        <v>58</v>
      </c>
      <c r="D38">
        <v>11.7</v>
      </c>
      <c r="F38">
        <f>D38*E75</f>
        <v>1.3351764705882352</v>
      </c>
    </row>
    <row r="40" spans="1:9" ht="16" x14ac:dyDescent="0.2">
      <c r="A40" s="2" t="s">
        <v>406</v>
      </c>
      <c r="B40" t="s">
        <v>408</v>
      </c>
      <c r="E40">
        <v>2006</v>
      </c>
      <c r="F40" s="17">
        <f>B42</f>
        <v>1630000000</v>
      </c>
    </row>
    <row r="41" spans="1:9" ht="15.75" customHeight="1" x14ac:dyDescent="0.2">
      <c r="B41" t="s">
        <v>409</v>
      </c>
      <c r="E41">
        <v>2007</v>
      </c>
      <c r="F41">
        <f t="shared" ref="F41:F52" si="0">F40*1.03</f>
        <v>1678900000</v>
      </c>
    </row>
    <row r="42" spans="1:9" ht="15.75" customHeight="1" x14ac:dyDescent="0.2">
      <c r="A42" t="s">
        <v>410</v>
      </c>
      <c r="B42" s="17">
        <v>1630000000</v>
      </c>
      <c r="E42">
        <v>2008</v>
      </c>
      <c r="F42">
        <f t="shared" si="0"/>
        <v>1729267000</v>
      </c>
    </row>
    <row r="43" spans="1:9" ht="15.75" customHeight="1" x14ac:dyDescent="0.2">
      <c r="A43">
        <v>2018</v>
      </c>
      <c r="B43" s="17">
        <f>F52</f>
        <v>2323990245.5592728</v>
      </c>
      <c r="C43" t="s">
        <v>411</v>
      </c>
      <c r="E43">
        <v>2009</v>
      </c>
      <c r="F43">
        <f t="shared" si="0"/>
        <v>1781145010</v>
      </c>
    </row>
    <row r="44" spans="1:9" ht="15.75" customHeight="1" x14ac:dyDescent="0.2">
      <c r="A44" t="s">
        <v>412</v>
      </c>
      <c r="B44" s="17">
        <f>F50/365*52</f>
        <v>312083157.0224871</v>
      </c>
      <c r="E44">
        <v>2010</v>
      </c>
      <c r="F44">
        <f t="shared" si="0"/>
        <v>1834579360.3</v>
      </c>
    </row>
    <row r="45" spans="1:9" ht="15.75" customHeight="1" x14ac:dyDescent="0.2">
      <c r="A45" t="s">
        <v>413</v>
      </c>
      <c r="B45" s="17"/>
      <c r="E45">
        <v>2011</v>
      </c>
      <c r="F45">
        <f t="shared" si="0"/>
        <v>1889616741.109</v>
      </c>
    </row>
    <row r="46" spans="1:9" ht="15.75" customHeight="1" x14ac:dyDescent="0.2">
      <c r="A46" t="s">
        <v>414</v>
      </c>
      <c r="B46" s="17">
        <v>65650000</v>
      </c>
      <c r="E46">
        <v>2012</v>
      </c>
      <c r="F46">
        <f t="shared" si="0"/>
        <v>1946305243.3422701</v>
      </c>
    </row>
    <row r="47" spans="1:9" ht="15.75" customHeight="1" x14ac:dyDescent="0.2">
      <c r="A47" t="s">
        <v>415</v>
      </c>
      <c r="B47" s="40">
        <f>B44/B46</f>
        <v>4.7537419196113797</v>
      </c>
      <c r="E47">
        <v>2013</v>
      </c>
      <c r="F47">
        <f t="shared" si="0"/>
        <v>2004694400.6425383</v>
      </c>
    </row>
    <row r="48" spans="1:9" ht="15.75" customHeight="1" x14ac:dyDescent="0.2">
      <c r="A48" t="s">
        <v>416</v>
      </c>
      <c r="B48" s="40">
        <v>1.7090000000000001</v>
      </c>
      <c r="E48">
        <v>2014</v>
      </c>
      <c r="F48">
        <f t="shared" si="0"/>
        <v>2064835232.6618145</v>
      </c>
    </row>
    <row r="49" spans="1:7" ht="15.75" customHeight="1" x14ac:dyDescent="0.2">
      <c r="A49" t="s">
        <v>417</v>
      </c>
      <c r="B49" s="40">
        <f>B47*B48</f>
        <v>8.1241449406158477</v>
      </c>
      <c r="E49">
        <v>2015</v>
      </c>
      <c r="F49">
        <f t="shared" si="0"/>
        <v>2126780289.641669</v>
      </c>
    </row>
    <row r="50" spans="1:7" ht="15.75" customHeight="1" x14ac:dyDescent="0.2">
      <c r="B50" s="40"/>
      <c r="E50">
        <v>2016</v>
      </c>
      <c r="F50">
        <f t="shared" si="0"/>
        <v>2190583698.3309193</v>
      </c>
    </row>
    <row r="51" spans="1:7" ht="15.75" customHeight="1" x14ac:dyDescent="0.2">
      <c r="A51" t="s">
        <v>418</v>
      </c>
      <c r="B51" s="40">
        <f>B49*1.03</f>
        <v>8.3678692888343225</v>
      </c>
      <c r="E51">
        <v>2017</v>
      </c>
      <c r="F51">
        <f t="shared" si="0"/>
        <v>2256301209.2808471</v>
      </c>
    </row>
    <row r="52" spans="1:7" ht="15.75" customHeight="1" x14ac:dyDescent="0.2">
      <c r="A52">
        <v>2018</v>
      </c>
      <c r="B52" s="40">
        <f>B51*1.03</f>
        <v>8.6189053674993517</v>
      </c>
      <c r="E52">
        <v>2018</v>
      </c>
      <c r="F52">
        <f t="shared" si="0"/>
        <v>2323990245.5592728</v>
      </c>
    </row>
    <row r="53" spans="1:7" ht="15.75" customHeight="1" x14ac:dyDescent="0.2"/>
    <row r="54" spans="1:7" ht="15.75" customHeight="1" x14ac:dyDescent="0.2">
      <c r="A54" s="2" t="s">
        <v>419</v>
      </c>
      <c r="B54" t="s">
        <v>420</v>
      </c>
      <c r="E54" t="s">
        <v>421</v>
      </c>
      <c r="G54" t="s">
        <v>329</v>
      </c>
    </row>
    <row r="55" spans="1:7" ht="15.75" customHeight="1" x14ac:dyDescent="0.2">
      <c r="C55" t="s">
        <v>422</v>
      </c>
      <c r="D55" t="s">
        <v>423</v>
      </c>
      <c r="F55" t="s">
        <v>399</v>
      </c>
    </row>
    <row r="56" spans="1:7" ht="15.75" customHeight="1" x14ac:dyDescent="0.2">
      <c r="B56">
        <v>60</v>
      </c>
      <c r="C56">
        <f>B56/10000</f>
        <v>6.0000000000000001E-3</v>
      </c>
      <c r="D56">
        <f>240000/68000</f>
        <v>3.5294117647058822</v>
      </c>
      <c r="E56">
        <f>D56/10000</f>
        <v>3.529411764705882E-4</v>
      </c>
      <c r="F56">
        <f>E56/365</f>
        <v>9.6696212731667995E-7</v>
      </c>
      <c r="G56">
        <f>F56+C56</f>
        <v>6.000966962127317E-3</v>
      </c>
    </row>
    <row r="57" spans="1:7" ht="15.75" customHeight="1" x14ac:dyDescent="0.2"/>
    <row r="58" spans="1:7" ht="15.75" customHeight="1" x14ac:dyDescent="0.2">
      <c r="A58" s="2" t="s">
        <v>26</v>
      </c>
    </row>
    <row r="59" spans="1:7" ht="15.75" customHeight="1" x14ac:dyDescent="0.2">
      <c r="A59" t="s">
        <v>424</v>
      </c>
    </row>
    <row r="60" spans="1:7" ht="15.75" customHeight="1" x14ac:dyDescent="0.2">
      <c r="B60" t="s">
        <v>425</v>
      </c>
    </row>
    <row r="61" spans="1:7" ht="15.75" customHeight="1" x14ac:dyDescent="0.2">
      <c r="A61">
        <v>30</v>
      </c>
      <c r="B61">
        <f>A61*'10 Marine reserve'!F10</f>
        <v>1.77</v>
      </c>
    </row>
    <row r="62" spans="1:7" ht="15.75" customHeight="1" x14ac:dyDescent="0.2">
      <c r="A62" s="2" t="s">
        <v>426</v>
      </c>
    </row>
    <row r="63" spans="1:7" ht="15.75" customHeight="1" x14ac:dyDescent="0.2">
      <c r="A63" t="s">
        <v>427</v>
      </c>
      <c r="C63" t="s">
        <v>428</v>
      </c>
      <c r="E63" t="s">
        <v>429</v>
      </c>
    </row>
    <row r="64" spans="1:7" ht="15.75" customHeight="1" x14ac:dyDescent="0.2">
      <c r="B64" t="s">
        <v>430</v>
      </c>
      <c r="D64" t="s">
        <v>431</v>
      </c>
      <c r="E64" t="s">
        <v>432</v>
      </c>
    </row>
    <row r="65" spans="1:6" ht="15.75" customHeight="1" x14ac:dyDescent="0.2">
      <c r="E65" t="s">
        <v>433</v>
      </c>
    </row>
    <row r="66" spans="1:6" ht="15.75" customHeight="1" x14ac:dyDescent="0.2">
      <c r="A66">
        <v>2.4</v>
      </c>
      <c r="B66">
        <f>7/100</f>
        <v>7.0000000000000007E-2</v>
      </c>
      <c r="C66">
        <f>A66*B66</f>
        <v>0.16800000000000001</v>
      </c>
      <c r="D66">
        <f>C66*5.64</f>
        <v>0.94752000000000003</v>
      </c>
      <c r="E66">
        <f>20/0.75</f>
        <v>26.666666666666668</v>
      </c>
      <c r="F66">
        <f>D66*E66/1000</f>
        <v>2.5267200000000004E-2</v>
      </c>
    </row>
    <row r="67" spans="1:6" ht="15.75" customHeight="1" x14ac:dyDescent="0.2"/>
    <row r="68" spans="1:6" ht="15.75" customHeight="1" x14ac:dyDescent="0.2">
      <c r="A68" t="s">
        <v>434</v>
      </c>
    </row>
    <row r="69" spans="1:6" ht="15.75" customHeight="1" x14ac:dyDescent="0.2">
      <c r="E69" t="s">
        <v>435</v>
      </c>
    </row>
    <row r="70" spans="1:6" ht="15.75" customHeight="1" x14ac:dyDescent="0.2"/>
    <row r="71" spans="1:6" ht="15.75" customHeight="1" x14ac:dyDescent="0.2">
      <c r="A71" s="2" t="s">
        <v>175</v>
      </c>
    </row>
    <row r="72" spans="1:6" ht="15.75" customHeight="1" x14ac:dyDescent="0.2">
      <c r="B72" t="s">
        <v>436</v>
      </c>
      <c r="C72" t="s">
        <v>437</v>
      </c>
      <c r="D72" t="s">
        <v>329</v>
      </c>
      <c r="E72" t="s">
        <v>438</v>
      </c>
    </row>
    <row r="73" spans="1:6" ht="15.75" customHeight="1" x14ac:dyDescent="0.2">
      <c r="B73" t="s">
        <v>439</v>
      </c>
      <c r="C73" t="s">
        <v>440</v>
      </c>
      <c r="D73" t="s">
        <v>441</v>
      </c>
      <c r="E73" t="s">
        <v>442</v>
      </c>
    </row>
    <row r="74" spans="1:6" ht="15.75" customHeight="1" x14ac:dyDescent="0.2">
      <c r="C74" t="s">
        <v>439</v>
      </c>
      <c r="D74" t="s">
        <v>439</v>
      </c>
      <c r="E74" t="s">
        <v>422</v>
      </c>
    </row>
    <row r="75" spans="1:6" ht="15.75" customHeight="1" x14ac:dyDescent="0.2">
      <c r="B75">
        <v>1000</v>
      </c>
      <c r="C75">
        <f>D56*40</f>
        <v>141.1764705882353</v>
      </c>
      <c r="D75">
        <f>B75+C75</f>
        <v>1141.1764705882354</v>
      </c>
      <c r="E75">
        <f>D75/10000</f>
        <v>0.11411764705882353</v>
      </c>
    </row>
    <row r="76" spans="1:6" ht="15.75" customHeight="1" x14ac:dyDescent="0.2"/>
    <row r="77" spans="1:6" ht="15.75" customHeight="1" x14ac:dyDescent="0.2">
      <c r="A77" s="2" t="s">
        <v>443</v>
      </c>
    </row>
    <row r="78" spans="1:6" ht="15.75" customHeight="1" x14ac:dyDescent="0.2">
      <c r="A78" t="s">
        <v>444</v>
      </c>
      <c r="B78" t="s">
        <v>357</v>
      </c>
    </row>
    <row r="79" spans="1:6" ht="15.75" customHeight="1" x14ac:dyDescent="0.2">
      <c r="A79">
        <v>0.08</v>
      </c>
      <c r="B79">
        <f>A79/1000</f>
        <v>8.0000000000000007E-5</v>
      </c>
    </row>
    <row r="80" spans="1:6" ht="15.75" customHeight="1" x14ac:dyDescent="0.2">
      <c r="A80" t="s">
        <v>445</v>
      </c>
    </row>
    <row r="81" spans="1:5" ht="15.75" customHeight="1" x14ac:dyDescent="0.2"/>
    <row r="82" spans="1:5" ht="15.75" customHeight="1" x14ac:dyDescent="0.2"/>
    <row r="83" spans="1:5" ht="15.75" customHeight="1" x14ac:dyDescent="0.2">
      <c r="A83" s="2" t="s">
        <v>446</v>
      </c>
    </row>
    <row r="84" spans="1:5" ht="15.75" customHeight="1" x14ac:dyDescent="0.2">
      <c r="A84" t="s">
        <v>447</v>
      </c>
      <c r="C84" t="s">
        <v>448</v>
      </c>
    </row>
    <row r="85" spans="1:5" ht="15.75" customHeight="1" x14ac:dyDescent="0.2">
      <c r="B85" t="s">
        <v>449</v>
      </c>
      <c r="C85" t="s">
        <v>450</v>
      </c>
      <c r="D85" t="s">
        <v>451</v>
      </c>
      <c r="E85" t="s">
        <v>452</v>
      </c>
    </row>
    <row r="86" spans="1:5" ht="15.75" customHeight="1" x14ac:dyDescent="0.2">
      <c r="A86">
        <v>5.4</v>
      </c>
      <c r="B86">
        <f>E66</f>
        <v>26.666666666666668</v>
      </c>
      <c r="C86">
        <f>A86*B86</f>
        <v>144.00000000000003</v>
      </c>
      <c r="D86">
        <f>C86/10000</f>
        <v>1.4400000000000003E-2</v>
      </c>
      <c r="E86">
        <f>D86*40</f>
        <v>0.57600000000000007</v>
      </c>
    </row>
    <row r="87" spans="1:5" ht="15.75" customHeight="1" x14ac:dyDescent="0.2"/>
    <row r="88" spans="1:5" ht="15.75" customHeight="1" x14ac:dyDescent="0.2">
      <c r="A88" t="s">
        <v>453</v>
      </c>
    </row>
    <row r="89" spans="1:5" ht="15.75" customHeight="1" x14ac:dyDescent="0.2"/>
    <row r="90" spans="1:5" ht="15.75" customHeight="1" x14ac:dyDescent="0.2"/>
    <row r="91" spans="1:5" ht="15.75" customHeight="1" x14ac:dyDescent="0.2"/>
    <row r="92" spans="1:5" ht="15.75" customHeight="1" x14ac:dyDescent="0.2"/>
    <row r="93" spans="1:5" ht="15.75" customHeight="1" x14ac:dyDescent="0.2"/>
    <row r="94" spans="1:5" ht="15.75" customHeight="1" x14ac:dyDescent="0.2"/>
    <row r="95" spans="1:5" ht="15.75" customHeight="1" x14ac:dyDescent="0.2"/>
    <row r="96" spans="1: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sheetData>
  <pageMargins left="0.75" right="0.75" top="1" bottom="1" header="0" footer="0"/>
  <pageSetup paperSize="9" orientation="portrait"/>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3:E1003"/>
  <sheetViews>
    <sheetView zoomScale="200" zoomScaleNormal="200" zoomScalePageLayoutView="200" workbookViewId="0">
      <selection activeCell="E10" sqref="E10"/>
    </sheetView>
  </sheetViews>
  <sheetFormatPr baseColWidth="10" defaultColWidth="11.1640625" defaultRowHeight="15" customHeight="1" x14ac:dyDescent="0.2"/>
  <cols>
    <col min="1" max="1" width="16.33203125" customWidth="1"/>
    <col min="2" max="26" width="10.5" customWidth="1"/>
  </cols>
  <sheetData>
    <row r="3" spans="1:5" ht="15" customHeight="1" x14ac:dyDescent="0.2">
      <c r="A3" t="s">
        <v>480</v>
      </c>
      <c r="B3">
        <v>220825</v>
      </c>
    </row>
    <row r="4" spans="1:5" ht="15" customHeight="1" x14ac:dyDescent="0.2">
      <c r="A4" t="s">
        <v>481</v>
      </c>
      <c r="B4">
        <v>2</v>
      </c>
    </row>
    <row r="5" spans="1:5" ht="15" customHeight="1" x14ac:dyDescent="0.2">
      <c r="A5" t="s">
        <v>482</v>
      </c>
      <c r="B5">
        <f>B4*B3</f>
        <v>441650</v>
      </c>
    </row>
    <row r="6" spans="1:5" ht="15" customHeight="1" x14ac:dyDescent="0.2">
      <c r="A6" t="s">
        <v>484</v>
      </c>
      <c r="B6">
        <v>1.77</v>
      </c>
      <c r="D6" t="s">
        <v>485</v>
      </c>
      <c r="E6">
        <v>220826</v>
      </c>
    </row>
    <row r="7" spans="1:5" ht="15" customHeight="1" x14ac:dyDescent="0.2">
      <c r="A7" t="s">
        <v>483</v>
      </c>
      <c r="B7">
        <v>0.28999999999999998</v>
      </c>
      <c r="D7" t="s">
        <v>483</v>
      </c>
      <c r="E7">
        <v>0.28999999999999998</v>
      </c>
    </row>
    <row r="8" spans="1:5" ht="15" customHeight="1" x14ac:dyDescent="0.2">
      <c r="A8" t="s">
        <v>486</v>
      </c>
      <c r="B8" s="53">
        <f>B6/B7</f>
        <v>6.1034482758620694</v>
      </c>
    </row>
    <row r="9" spans="1:5" ht="15" customHeight="1" x14ac:dyDescent="0.2">
      <c r="A9" t="s">
        <v>485</v>
      </c>
      <c r="B9">
        <f>B5/B8</f>
        <v>72360.734463276836</v>
      </c>
      <c r="D9" t="s">
        <v>485</v>
      </c>
      <c r="E9">
        <f>E6*E7</f>
        <v>64039.539999999994</v>
      </c>
    </row>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pageMargins left="0.75" right="0.75" top="1" bottom="1" header="0" footer="0"/>
  <pageSetup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E1000"/>
  <sheetViews>
    <sheetView workbookViewId="0">
      <selection activeCell="H19" sqref="H19"/>
    </sheetView>
  </sheetViews>
  <sheetFormatPr baseColWidth="10" defaultColWidth="11.1640625" defaultRowHeight="15" customHeight="1" x14ac:dyDescent="0.2"/>
  <cols>
    <col min="1" max="1" width="36.1640625" customWidth="1"/>
    <col min="2" max="26" width="10.5" customWidth="1"/>
  </cols>
  <sheetData>
    <row r="3" spans="1:5" ht="16" x14ac:dyDescent="0.2">
      <c r="B3" t="s">
        <v>6</v>
      </c>
      <c r="C3" t="s">
        <v>7</v>
      </c>
      <c r="D3" t="s">
        <v>8</v>
      </c>
      <c r="E3" t="s">
        <v>9</v>
      </c>
    </row>
    <row r="5" spans="1:5" ht="16" x14ac:dyDescent="0.2">
      <c r="A5" t="s">
        <v>11</v>
      </c>
      <c r="B5">
        <v>60</v>
      </c>
    </row>
    <row r="7" spans="1:5" ht="16" x14ac:dyDescent="0.2">
      <c r="A7" t="s">
        <v>12</v>
      </c>
    </row>
    <row r="8" spans="1:5" ht="16" x14ac:dyDescent="0.2">
      <c r="A8" t="s">
        <v>13</v>
      </c>
      <c r="B8">
        <v>83.4</v>
      </c>
    </row>
    <row r="10" spans="1:5" ht="16" x14ac:dyDescent="0.2">
      <c r="A10" t="s">
        <v>14</v>
      </c>
    </row>
    <row r="11" spans="1:5" ht="16" x14ac:dyDescent="0.2">
      <c r="A11" t="s">
        <v>15</v>
      </c>
      <c r="B11">
        <f>B8-B5</f>
        <v>23.400000000000006</v>
      </c>
      <c r="D11">
        <f>B11*365.3</f>
        <v>8548.0200000000023</v>
      </c>
    </row>
    <row r="13" spans="1:5" ht="16" x14ac:dyDescent="0.2">
      <c r="A13" t="s">
        <v>45</v>
      </c>
    </row>
    <row r="14" spans="1:5" ht="16" x14ac:dyDescent="0.2">
      <c r="A14" t="s">
        <v>46</v>
      </c>
    </row>
    <row r="15" spans="1:5" ht="16" x14ac:dyDescent="0.2">
      <c r="A15" t="s">
        <v>47</v>
      </c>
      <c r="C15">
        <v>9</v>
      </c>
      <c r="D15">
        <f>C15/12*365.3</f>
        <v>273.97500000000002</v>
      </c>
    </row>
    <row r="17" spans="1:5" ht="16" x14ac:dyDescent="0.2">
      <c r="A17" t="s">
        <v>49</v>
      </c>
    </row>
    <row r="18" spans="1:5" ht="16" x14ac:dyDescent="0.2">
      <c r="A18" t="s">
        <v>50</v>
      </c>
    </row>
    <row r="19" spans="1:5" ht="16" x14ac:dyDescent="0.2">
      <c r="A19" t="s">
        <v>51</v>
      </c>
      <c r="D19">
        <f>D15/D11</f>
        <v>3.2051282051282048E-2</v>
      </c>
      <c r="E19" s="6">
        <f>D19*24*60</f>
        <v>46.153846153846146</v>
      </c>
    </row>
    <row r="21" spans="1:5" ht="15.75" customHeight="1" x14ac:dyDescent="0.2"/>
    <row r="22" spans="1:5" ht="15.75" customHeight="1" x14ac:dyDescent="0.2"/>
    <row r="23" spans="1:5" ht="15.75" customHeight="1" x14ac:dyDescent="0.2"/>
    <row r="24" spans="1:5" ht="15.75" customHeight="1" x14ac:dyDescent="0.2"/>
    <row r="25" spans="1:5" ht="15.75" customHeight="1" x14ac:dyDescent="0.2"/>
    <row r="26" spans="1:5" ht="15.75" customHeight="1" x14ac:dyDescent="0.2"/>
    <row r="27" spans="1:5" ht="15.75" customHeight="1" x14ac:dyDescent="0.2"/>
    <row r="28" spans="1:5" ht="15.75" customHeight="1" x14ac:dyDescent="0.2"/>
    <row r="29" spans="1:5" ht="15.75" customHeight="1" x14ac:dyDescent="0.2"/>
    <row r="30" spans="1:5" ht="15.75" customHeight="1" x14ac:dyDescent="0.2"/>
    <row r="31" spans="1:5" ht="15.75" customHeight="1" x14ac:dyDescent="0.2"/>
    <row r="32" spans="1:5"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5" right="0.75" top="1" bottom="1" header="0" footer="0"/>
  <pageSetup paperSize="9" orientation="portrait"/>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J25"/>
  <sheetViews>
    <sheetView zoomScale="200" zoomScaleNormal="200" zoomScalePageLayoutView="200" workbookViewId="0">
      <selection activeCell="I24" sqref="I24"/>
    </sheetView>
  </sheetViews>
  <sheetFormatPr baseColWidth="10" defaultRowHeight="16" x14ac:dyDescent="0.2"/>
  <cols>
    <col min="1" max="8" width="10.83203125" style="54"/>
    <col min="9" max="9" width="13.83203125" style="54" bestFit="1" customWidth="1"/>
    <col min="10" max="10" width="11.33203125" style="54" bestFit="1" customWidth="1"/>
    <col min="11" max="16384" width="10.83203125" style="54"/>
  </cols>
  <sheetData>
    <row r="1" spans="2:10" x14ac:dyDescent="0.2">
      <c r="B1" s="54" t="s">
        <v>873</v>
      </c>
      <c r="E1" s="54" t="s">
        <v>387</v>
      </c>
      <c r="F1" s="54" t="s">
        <v>874</v>
      </c>
    </row>
    <row r="2" spans="2:10" x14ac:dyDescent="0.2">
      <c r="C2" s="54" t="s">
        <v>857</v>
      </c>
      <c r="D2" s="54" t="s">
        <v>858</v>
      </c>
      <c r="G2" s="54" t="s">
        <v>859</v>
      </c>
      <c r="I2" s="54" t="s">
        <v>517</v>
      </c>
    </row>
    <row r="3" spans="2:10" x14ac:dyDescent="0.2">
      <c r="C3" s="54" t="s">
        <v>860</v>
      </c>
      <c r="G3" s="54" t="s">
        <v>860</v>
      </c>
      <c r="I3" s="54" t="s">
        <v>861</v>
      </c>
    </row>
    <row r="4" spans="2:10" x14ac:dyDescent="0.2">
      <c r="B4" s="54">
        <v>1961</v>
      </c>
      <c r="C4" s="54">
        <v>71</v>
      </c>
      <c r="D4" s="54" t="s">
        <v>862</v>
      </c>
    </row>
    <row r="5" spans="2:10" x14ac:dyDescent="0.2">
      <c r="B5" s="54">
        <v>2016</v>
      </c>
      <c r="G5" s="54">
        <v>171</v>
      </c>
      <c r="H5" s="54" t="s">
        <v>863</v>
      </c>
      <c r="I5" s="54">
        <v>7.4</v>
      </c>
      <c r="J5" s="54" t="s">
        <v>863</v>
      </c>
    </row>
    <row r="6" spans="2:10" x14ac:dyDescent="0.2">
      <c r="B6" s="54">
        <v>2018</v>
      </c>
      <c r="C6" s="54">
        <v>341</v>
      </c>
      <c r="D6" s="54" t="s">
        <v>872</v>
      </c>
      <c r="E6" s="54">
        <v>49.5</v>
      </c>
      <c r="F6" s="54">
        <f>C6-E6</f>
        <v>291.5</v>
      </c>
    </row>
    <row r="7" spans="2:10" x14ac:dyDescent="0.2">
      <c r="B7" s="54">
        <v>2050</v>
      </c>
      <c r="C7" s="54">
        <v>557</v>
      </c>
      <c r="D7" s="125" t="s">
        <v>872</v>
      </c>
      <c r="E7" s="54">
        <v>102</v>
      </c>
      <c r="F7" s="54">
        <f>C7-E7</f>
        <v>455</v>
      </c>
    </row>
    <row r="10" spans="2:10" x14ac:dyDescent="0.2">
      <c r="B10" s="54" t="s">
        <v>35</v>
      </c>
      <c r="C10" s="126" t="s">
        <v>857</v>
      </c>
      <c r="D10" s="126" t="s">
        <v>858</v>
      </c>
      <c r="E10" s="126"/>
      <c r="F10" s="126"/>
      <c r="G10" s="126" t="s">
        <v>859</v>
      </c>
      <c r="H10" s="126"/>
      <c r="I10" s="126" t="s">
        <v>329</v>
      </c>
    </row>
    <row r="11" spans="2:10" x14ac:dyDescent="0.2">
      <c r="C11" s="126" t="s">
        <v>860</v>
      </c>
      <c r="D11" s="126"/>
      <c r="E11" s="126"/>
      <c r="F11" s="126"/>
      <c r="G11" s="126" t="s">
        <v>860</v>
      </c>
      <c r="H11" s="126"/>
      <c r="I11" s="126" t="s">
        <v>864</v>
      </c>
    </row>
    <row r="12" spans="2:10" x14ac:dyDescent="0.2">
      <c r="G12" s="54" t="s">
        <v>865</v>
      </c>
    </row>
    <row r="13" spans="2:10" x14ac:dyDescent="0.2">
      <c r="B13" s="54">
        <v>1961</v>
      </c>
      <c r="C13" s="54">
        <v>23</v>
      </c>
      <c r="D13" s="54" t="s">
        <v>862</v>
      </c>
      <c r="G13" s="54">
        <v>9</v>
      </c>
      <c r="H13" s="54" t="s">
        <v>863</v>
      </c>
      <c r="I13" s="54">
        <f>G13+C13</f>
        <v>32</v>
      </c>
    </row>
    <row r="14" spans="2:10" x14ac:dyDescent="0.2">
      <c r="B14" s="54">
        <v>2013</v>
      </c>
      <c r="C14" s="54">
        <v>43</v>
      </c>
      <c r="D14" s="54" t="s">
        <v>862</v>
      </c>
    </row>
    <row r="15" spans="2:10" x14ac:dyDescent="0.2">
      <c r="B15" s="54">
        <v>2015</v>
      </c>
      <c r="G15" s="54">
        <v>20.2</v>
      </c>
      <c r="H15" s="54" t="s">
        <v>863</v>
      </c>
      <c r="I15" s="54">
        <f>G15+C14</f>
        <v>63.2</v>
      </c>
    </row>
    <row r="16" spans="2:10" x14ac:dyDescent="0.2">
      <c r="B16" s="54">
        <v>2016</v>
      </c>
    </row>
    <row r="17" spans="2:10" x14ac:dyDescent="0.2">
      <c r="B17" s="54">
        <v>2018</v>
      </c>
    </row>
    <row r="18" spans="2:10" x14ac:dyDescent="0.2">
      <c r="B18" s="54">
        <v>2050</v>
      </c>
    </row>
    <row r="21" spans="2:10" ht="34" x14ac:dyDescent="0.2">
      <c r="C21" s="134" t="s">
        <v>866</v>
      </c>
      <c r="D21" s="54" t="s">
        <v>512</v>
      </c>
      <c r="H21" s="54" t="s">
        <v>425</v>
      </c>
      <c r="I21" s="54" t="s">
        <v>917</v>
      </c>
      <c r="J21" s="54" t="s">
        <v>867</v>
      </c>
    </row>
    <row r="22" spans="2:10" x14ac:dyDescent="0.2">
      <c r="D22" s="54" t="s">
        <v>209</v>
      </c>
      <c r="H22" s="54" t="s">
        <v>868</v>
      </c>
      <c r="J22" s="54" t="s">
        <v>915</v>
      </c>
    </row>
    <row r="23" spans="2:10" x14ac:dyDescent="0.2">
      <c r="C23" s="54" t="s">
        <v>869</v>
      </c>
      <c r="D23" s="54" t="s">
        <v>869</v>
      </c>
      <c r="G23" s="54" t="s">
        <v>870</v>
      </c>
    </row>
    <row r="24" spans="2:10" x14ac:dyDescent="0.2">
      <c r="B24" s="54" t="s">
        <v>871</v>
      </c>
      <c r="C24" s="54">
        <f>F7-F6</f>
        <v>163.5</v>
      </c>
      <c r="D24" s="54">
        <f>C24/32</f>
        <v>5.109375</v>
      </c>
      <c r="G24" s="54">
        <f>D24*1000</f>
        <v>5109.375</v>
      </c>
      <c r="H24" s="54">
        <f>OECD!C15</f>
        <v>0.1767</v>
      </c>
      <c r="I24" s="55">
        <f>(G24*1000000)/H24</f>
        <v>28915534804.753822</v>
      </c>
      <c r="J24" s="55">
        <f>(I24/52)/2</f>
        <v>278033988.50724828</v>
      </c>
    </row>
    <row r="25" spans="2:10" x14ac:dyDescent="0.2">
      <c r="B25" s="54" t="s">
        <v>872</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71"/>
  <sheetViews>
    <sheetView topLeftCell="A13" zoomScale="200" zoomScaleNormal="200" zoomScalePageLayoutView="200" workbookViewId="0">
      <selection activeCell="H21" sqref="H21"/>
    </sheetView>
  </sheetViews>
  <sheetFormatPr baseColWidth="10" defaultRowHeight="16" x14ac:dyDescent="0.2"/>
  <sheetData>
    <row r="1" spans="1:7" x14ac:dyDescent="0.2">
      <c r="B1" t="s">
        <v>890</v>
      </c>
      <c r="E1" t="s">
        <v>892</v>
      </c>
      <c r="F1" t="s">
        <v>891</v>
      </c>
      <c r="G1" t="s">
        <v>893</v>
      </c>
    </row>
    <row r="2" spans="1:7" x14ac:dyDescent="0.2">
      <c r="C2" t="s">
        <v>894</v>
      </c>
    </row>
    <row r="3" spans="1:7" x14ac:dyDescent="0.2">
      <c r="A3">
        <v>2019</v>
      </c>
      <c r="C3" s="61"/>
      <c r="D3" s="61"/>
    </row>
    <row r="4" spans="1:7" x14ac:dyDescent="0.2">
      <c r="A4">
        <v>1</v>
      </c>
      <c r="C4" s="61"/>
      <c r="D4" s="61"/>
    </row>
    <row r="5" spans="1:7" x14ac:dyDescent="0.2">
      <c r="A5">
        <v>2</v>
      </c>
      <c r="C5" s="61"/>
      <c r="D5" s="61"/>
    </row>
    <row r="6" spans="1:7" x14ac:dyDescent="0.2">
      <c r="A6">
        <v>3</v>
      </c>
      <c r="C6" s="61"/>
      <c r="D6" s="61"/>
    </row>
    <row r="7" spans="1:7" x14ac:dyDescent="0.2">
      <c r="A7">
        <v>4</v>
      </c>
      <c r="C7" s="61"/>
      <c r="D7" s="61"/>
    </row>
    <row r="8" spans="1:7" x14ac:dyDescent="0.2">
      <c r="A8">
        <v>5</v>
      </c>
      <c r="C8" s="61"/>
      <c r="D8" s="61"/>
    </row>
    <row r="9" spans="1:7" x14ac:dyDescent="0.2">
      <c r="A9">
        <v>6</v>
      </c>
      <c r="C9" s="61">
        <v>11616</v>
      </c>
      <c r="D9" s="61"/>
    </row>
    <row r="10" spans="1:7" x14ac:dyDescent="0.2">
      <c r="A10">
        <v>2020</v>
      </c>
      <c r="C10" s="61"/>
      <c r="D10" s="61"/>
    </row>
    <row r="11" spans="1:7" x14ac:dyDescent="0.2">
      <c r="A11">
        <v>1</v>
      </c>
      <c r="B11">
        <v>1.1299999999999999</v>
      </c>
      <c r="C11" s="61">
        <f>B11*C9</f>
        <v>13126.079999999998</v>
      </c>
      <c r="D11" s="61"/>
    </row>
    <row r="12" spans="1:7" x14ac:dyDescent="0.2">
      <c r="A12">
        <v>2</v>
      </c>
      <c r="B12">
        <f>B11</f>
        <v>1.1299999999999999</v>
      </c>
      <c r="C12" s="61">
        <f>B12*C11</f>
        <v>14832.470399999997</v>
      </c>
      <c r="D12" s="61"/>
    </row>
    <row r="13" spans="1:7" x14ac:dyDescent="0.2">
      <c r="A13">
        <v>3</v>
      </c>
      <c r="B13">
        <f>B11</f>
        <v>1.1299999999999999</v>
      </c>
      <c r="C13" s="61">
        <f t="shared" ref="C13:C16" si="0">B13*C12</f>
        <v>16760.691551999993</v>
      </c>
      <c r="D13" s="61"/>
    </row>
    <row r="14" spans="1:7" x14ac:dyDescent="0.2">
      <c r="A14">
        <v>4</v>
      </c>
      <c r="B14">
        <f>B11</f>
        <v>1.1299999999999999</v>
      </c>
      <c r="C14" s="61">
        <f t="shared" si="0"/>
        <v>18939.581453759991</v>
      </c>
      <c r="D14" s="61"/>
    </row>
    <row r="15" spans="1:7" x14ac:dyDescent="0.2">
      <c r="A15">
        <v>5</v>
      </c>
      <c r="B15">
        <f>B11</f>
        <v>1.1299999999999999</v>
      </c>
      <c r="C15" s="61">
        <f t="shared" si="0"/>
        <v>21401.727042748789</v>
      </c>
      <c r="D15" s="61"/>
    </row>
    <row r="16" spans="1:7" x14ac:dyDescent="0.2">
      <c r="A16">
        <v>6</v>
      </c>
      <c r="B16">
        <f>B11</f>
        <v>1.1299999999999999</v>
      </c>
      <c r="C16" s="61">
        <f t="shared" si="0"/>
        <v>24183.951558306129</v>
      </c>
      <c r="D16" s="61"/>
      <c r="E16" s="61">
        <f>SUM(C11:C16)</f>
        <v>109244.50200681489</v>
      </c>
      <c r="F16" s="61" t="e">
        <f>'15Y Quest'!#REF!</f>
        <v>#REF!</v>
      </c>
      <c r="G16" s="61" t="e">
        <f>E16-F16</f>
        <v>#REF!</v>
      </c>
    </row>
    <row r="17" spans="1:9" x14ac:dyDescent="0.2">
      <c r="C17" s="61"/>
      <c r="D17" s="61"/>
    </row>
    <row r="18" spans="1:9" x14ac:dyDescent="0.2">
      <c r="A18" t="s">
        <v>983</v>
      </c>
      <c r="B18" t="s">
        <v>977</v>
      </c>
      <c r="C18" s="61" t="s">
        <v>931</v>
      </c>
      <c r="D18" s="61" t="s">
        <v>982</v>
      </c>
      <c r="F18" t="s">
        <v>984</v>
      </c>
      <c r="G18" t="s">
        <v>977</v>
      </c>
      <c r="H18" s="61" t="s">
        <v>931</v>
      </c>
      <c r="I18" s="61" t="s">
        <v>982</v>
      </c>
    </row>
    <row r="19" spans="1:9" x14ac:dyDescent="0.2">
      <c r="B19">
        <v>100</v>
      </c>
      <c r="C19" s="61"/>
      <c r="D19" s="61"/>
      <c r="G19">
        <v>100</v>
      </c>
      <c r="H19" s="61"/>
      <c r="I19" s="61"/>
    </row>
    <row r="20" spans="1:9" x14ac:dyDescent="0.2">
      <c r="A20" t="s">
        <v>978</v>
      </c>
      <c r="C20" s="140">
        <v>1.2450000000000001</v>
      </c>
      <c r="D20" s="61">
        <f>B19*C20</f>
        <v>124.50000000000001</v>
      </c>
      <c r="F20">
        <v>1</v>
      </c>
      <c r="H20">
        <v>1.0169999999999999</v>
      </c>
      <c r="I20">
        <f>G19*H20</f>
        <v>101.69999999999999</v>
      </c>
    </row>
    <row r="21" spans="1:9" x14ac:dyDescent="0.2">
      <c r="A21" t="s">
        <v>979</v>
      </c>
      <c r="C21" s="140">
        <f>C20</f>
        <v>1.2450000000000001</v>
      </c>
      <c r="D21" s="61">
        <f>D20*C21</f>
        <v>155.00250000000003</v>
      </c>
      <c r="F21">
        <v>2</v>
      </c>
      <c r="H21">
        <f>H20</f>
        <v>1.0169999999999999</v>
      </c>
      <c r="I21">
        <f>I20*H21</f>
        <v>103.42889999999998</v>
      </c>
    </row>
    <row r="22" spans="1:9" x14ac:dyDescent="0.2">
      <c r="A22" t="s">
        <v>980</v>
      </c>
      <c r="C22" s="140">
        <f>C20</f>
        <v>1.2450000000000001</v>
      </c>
      <c r="D22" s="61">
        <f>D21*C22</f>
        <v>192.97811250000004</v>
      </c>
      <c r="F22">
        <v>3</v>
      </c>
      <c r="H22">
        <f>H20</f>
        <v>1.0169999999999999</v>
      </c>
      <c r="I22">
        <f t="shared" ref="I22:I71" si="1">I21*H22</f>
        <v>105.18719129999998</v>
      </c>
    </row>
    <row r="23" spans="1:9" x14ac:dyDescent="0.2">
      <c r="A23" t="s">
        <v>981</v>
      </c>
      <c r="C23" s="140">
        <f>C20</f>
        <v>1.2450000000000001</v>
      </c>
      <c r="D23" s="61">
        <f>D22*C23</f>
        <v>240.25775006250007</v>
      </c>
      <c r="F23">
        <v>4</v>
      </c>
      <c r="H23">
        <f>H20</f>
        <v>1.0169999999999999</v>
      </c>
      <c r="I23">
        <f t="shared" si="1"/>
        <v>106.97537355209997</v>
      </c>
    </row>
    <row r="24" spans="1:9" x14ac:dyDescent="0.2">
      <c r="C24" s="61"/>
      <c r="D24" s="61"/>
      <c r="F24">
        <v>5</v>
      </c>
      <c r="H24">
        <f>H20</f>
        <v>1.0169999999999999</v>
      </c>
      <c r="I24">
        <f t="shared" si="1"/>
        <v>108.79395490248565</v>
      </c>
    </row>
    <row r="25" spans="1:9" x14ac:dyDescent="0.2">
      <c r="C25" s="61"/>
      <c r="D25" s="61"/>
      <c r="F25">
        <v>6</v>
      </c>
      <c r="H25">
        <f>H20</f>
        <v>1.0169999999999999</v>
      </c>
      <c r="I25">
        <f t="shared" si="1"/>
        <v>110.6434521358279</v>
      </c>
    </row>
    <row r="26" spans="1:9" x14ac:dyDescent="0.2">
      <c r="C26" s="61"/>
      <c r="D26" s="61"/>
      <c r="F26">
        <v>7</v>
      </c>
      <c r="H26">
        <f>H20</f>
        <v>1.0169999999999999</v>
      </c>
      <c r="I26">
        <f t="shared" si="1"/>
        <v>112.52439082213697</v>
      </c>
    </row>
    <row r="27" spans="1:9" x14ac:dyDescent="0.2">
      <c r="C27" s="61"/>
      <c r="D27" s="61"/>
      <c r="F27">
        <v>8</v>
      </c>
      <c r="H27">
        <f>H20</f>
        <v>1.0169999999999999</v>
      </c>
      <c r="I27">
        <f t="shared" si="1"/>
        <v>114.43730546611329</v>
      </c>
    </row>
    <row r="28" spans="1:9" x14ac:dyDescent="0.2">
      <c r="C28" s="61"/>
      <c r="D28" s="61"/>
      <c r="F28">
        <v>9</v>
      </c>
      <c r="H28">
        <f>H20</f>
        <v>1.0169999999999999</v>
      </c>
      <c r="I28">
        <f t="shared" si="1"/>
        <v>116.3827396590372</v>
      </c>
    </row>
    <row r="29" spans="1:9" x14ac:dyDescent="0.2">
      <c r="C29" s="61"/>
      <c r="D29" s="61"/>
      <c r="F29">
        <v>10</v>
      </c>
      <c r="H29">
        <f>H20</f>
        <v>1.0169999999999999</v>
      </c>
      <c r="I29">
        <f t="shared" si="1"/>
        <v>118.36124623324082</v>
      </c>
    </row>
    <row r="30" spans="1:9" x14ac:dyDescent="0.2">
      <c r="C30" s="61"/>
      <c r="D30" s="61"/>
      <c r="F30">
        <v>11</v>
      </c>
      <c r="H30">
        <f>H20</f>
        <v>1.0169999999999999</v>
      </c>
      <c r="I30">
        <f t="shared" si="1"/>
        <v>120.3733874192059</v>
      </c>
    </row>
    <row r="31" spans="1:9" x14ac:dyDescent="0.2">
      <c r="C31" s="61"/>
      <c r="D31" s="61"/>
      <c r="F31">
        <v>12</v>
      </c>
      <c r="H31">
        <f>H20</f>
        <v>1.0169999999999999</v>
      </c>
      <c r="I31">
        <f t="shared" si="1"/>
        <v>122.41973500533238</v>
      </c>
    </row>
    <row r="32" spans="1:9" x14ac:dyDescent="0.2">
      <c r="C32" s="61"/>
      <c r="D32" s="61"/>
      <c r="F32">
        <v>13</v>
      </c>
      <c r="H32">
        <f>H20</f>
        <v>1.0169999999999999</v>
      </c>
      <c r="I32">
        <f t="shared" si="1"/>
        <v>124.50087050042302</v>
      </c>
    </row>
    <row r="33" spans="3:9" x14ac:dyDescent="0.2">
      <c r="C33" s="61"/>
      <c r="D33" s="61"/>
      <c r="F33">
        <v>14</v>
      </c>
      <c r="H33">
        <f>H20</f>
        <v>1.0169999999999999</v>
      </c>
      <c r="I33">
        <f t="shared" si="1"/>
        <v>126.6173852989302</v>
      </c>
    </row>
    <row r="34" spans="3:9" x14ac:dyDescent="0.2">
      <c r="C34" s="61"/>
      <c r="D34" s="61"/>
      <c r="F34">
        <v>15</v>
      </c>
      <c r="H34">
        <f>H20</f>
        <v>1.0169999999999999</v>
      </c>
      <c r="I34">
        <f t="shared" si="1"/>
        <v>128.769880849012</v>
      </c>
    </row>
    <row r="35" spans="3:9" x14ac:dyDescent="0.2">
      <c r="C35" s="61"/>
      <c r="D35" s="61"/>
      <c r="F35">
        <v>16</v>
      </c>
      <c r="H35">
        <f>H20</f>
        <v>1.0169999999999999</v>
      </c>
      <c r="I35">
        <f t="shared" si="1"/>
        <v>130.95896882344519</v>
      </c>
    </row>
    <row r="36" spans="3:9" x14ac:dyDescent="0.2">
      <c r="C36" s="61"/>
      <c r="D36" s="61"/>
      <c r="F36">
        <v>17</v>
      </c>
      <c r="H36">
        <f>H20</f>
        <v>1.0169999999999999</v>
      </c>
      <c r="I36">
        <f t="shared" si="1"/>
        <v>133.18527129344375</v>
      </c>
    </row>
    <row r="37" spans="3:9" x14ac:dyDescent="0.2">
      <c r="F37">
        <v>18</v>
      </c>
      <c r="H37">
        <f>H20</f>
        <v>1.0169999999999999</v>
      </c>
      <c r="I37">
        <f t="shared" si="1"/>
        <v>135.44942090543228</v>
      </c>
    </row>
    <row r="38" spans="3:9" x14ac:dyDescent="0.2">
      <c r="F38">
        <v>19</v>
      </c>
      <c r="H38">
        <f>H20</f>
        <v>1.0169999999999999</v>
      </c>
      <c r="I38">
        <f t="shared" si="1"/>
        <v>137.75206106082462</v>
      </c>
    </row>
    <row r="39" spans="3:9" x14ac:dyDescent="0.2">
      <c r="F39">
        <v>20</v>
      </c>
      <c r="H39">
        <f>H20</f>
        <v>1.0169999999999999</v>
      </c>
      <c r="I39">
        <f t="shared" si="1"/>
        <v>140.09384609885862</v>
      </c>
    </row>
    <row r="40" spans="3:9" x14ac:dyDescent="0.2">
      <c r="F40">
        <v>21</v>
      </c>
      <c r="H40">
        <f>H20</f>
        <v>1.0169999999999999</v>
      </c>
      <c r="I40">
        <f t="shared" si="1"/>
        <v>142.4754414825392</v>
      </c>
    </row>
    <row r="41" spans="3:9" x14ac:dyDescent="0.2">
      <c r="F41">
        <v>22</v>
      </c>
      <c r="H41">
        <f>H20</f>
        <v>1.0169999999999999</v>
      </c>
      <c r="I41">
        <f t="shared" si="1"/>
        <v>144.89752398774235</v>
      </c>
    </row>
    <row r="42" spans="3:9" x14ac:dyDescent="0.2">
      <c r="F42">
        <v>23</v>
      </c>
      <c r="H42">
        <f>H20</f>
        <v>1.0169999999999999</v>
      </c>
      <c r="I42">
        <f t="shared" si="1"/>
        <v>147.36078189553396</v>
      </c>
    </row>
    <row r="43" spans="3:9" x14ac:dyDescent="0.2">
      <c r="F43">
        <v>24</v>
      </c>
      <c r="H43">
        <f>H20</f>
        <v>1.0169999999999999</v>
      </c>
      <c r="I43">
        <f t="shared" si="1"/>
        <v>149.86591518775802</v>
      </c>
    </row>
    <row r="44" spans="3:9" x14ac:dyDescent="0.2">
      <c r="F44">
        <v>25</v>
      </c>
      <c r="H44">
        <f>H20</f>
        <v>1.0169999999999999</v>
      </c>
      <c r="I44">
        <f t="shared" si="1"/>
        <v>152.4136357459499</v>
      </c>
    </row>
    <row r="45" spans="3:9" x14ac:dyDescent="0.2">
      <c r="F45">
        <v>26</v>
      </c>
      <c r="H45">
        <f>H20</f>
        <v>1.0169999999999999</v>
      </c>
      <c r="I45">
        <f t="shared" si="1"/>
        <v>155.00466755363104</v>
      </c>
    </row>
    <row r="46" spans="3:9" x14ac:dyDescent="0.2">
      <c r="F46">
        <v>27</v>
      </c>
      <c r="H46">
        <f>H20</f>
        <v>1.0169999999999999</v>
      </c>
      <c r="I46">
        <f t="shared" si="1"/>
        <v>157.63974690204276</v>
      </c>
    </row>
    <row r="47" spans="3:9" x14ac:dyDescent="0.2">
      <c r="F47">
        <v>28</v>
      </c>
      <c r="H47">
        <f>H20</f>
        <v>1.0169999999999999</v>
      </c>
      <c r="I47">
        <f t="shared" si="1"/>
        <v>160.31962259937748</v>
      </c>
    </row>
    <row r="48" spans="3:9" x14ac:dyDescent="0.2">
      <c r="F48">
        <v>29</v>
      </c>
      <c r="H48">
        <f>H20</f>
        <v>1.0169999999999999</v>
      </c>
      <c r="I48">
        <f t="shared" si="1"/>
        <v>163.04505618356689</v>
      </c>
    </row>
    <row r="49" spans="6:9" x14ac:dyDescent="0.2">
      <c r="F49">
        <v>30</v>
      </c>
      <c r="H49">
        <f>H20</f>
        <v>1.0169999999999999</v>
      </c>
      <c r="I49">
        <f t="shared" si="1"/>
        <v>165.81682213868751</v>
      </c>
    </row>
    <row r="50" spans="6:9" x14ac:dyDescent="0.2">
      <c r="F50">
        <v>31</v>
      </c>
      <c r="H50">
        <f>H20</f>
        <v>1.0169999999999999</v>
      </c>
      <c r="I50">
        <f t="shared" si="1"/>
        <v>168.63570811504519</v>
      </c>
    </row>
    <row r="51" spans="6:9" x14ac:dyDescent="0.2">
      <c r="F51">
        <v>32</v>
      </c>
      <c r="H51">
        <f>H20</f>
        <v>1.0169999999999999</v>
      </c>
      <c r="I51">
        <f t="shared" si="1"/>
        <v>171.50251515300096</v>
      </c>
    </row>
    <row r="52" spans="6:9" x14ac:dyDescent="0.2">
      <c r="F52">
        <v>33</v>
      </c>
      <c r="H52">
        <f>H20</f>
        <v>1.0169999999999999</v>
      </c>
      <c r="I52">
        <f t="shared" si="1"/>
        <v>174.41805791060196</v>
      </c>
    </row>
    <row r="53" spans="6:9" x14ac:dyDescent="0.2">
      <c r="F53">
        <v>34</v>
      </c>
      <c r="H53">
        <f>H20</f>
        <v>1.0169999999999999</v>
      </c>
      <c r="I53">
        <f t="shared" si="1"/>
        <v>177.38316489508219</v>
      </c>
    </row>
    <row r="54" spans="6:9" x14ac:dyDescent="0.2">
      <c r="F54">
        <v>35</v>
      </c>
      <c r="H54">
        <f>H20</f>
        <v>1.0169999999999999</v>
      </c>
      <c r="I54">
        <f t="shared" si="1"/>
        <v>180.39867869829857</v>
      </c>
    </row>
    <row r="55" spans="6:9" x14ac:dyDescent="0.2">
      <c r="F55">
        <v>36</v>
      </c>
      <c r="H55">
        <f>H20</f>
        <v>1.0169999999999999</v>
      </c>
      <c r="I55">
        <f t="shared" si="1"/>
        <v>183.46545623616962</v>
      </c>
    </row>
    <row r="56" spans="6:9" x14ac:dyDescent="0.2">
      <c r="F56">
        <v>37</v>
      </c>
      <c r="H56">
        <f>H20</f>
        <v>1.0169999999999999</v>
      </c>
      <c r="I56">
        <f t="shared" si="1"/>
        <v>186.58436899218449</v>
      </c>
    </row>
    <row r="57" spans="6:9" x14ac:dyDescent="0.2">
      <c r="F57">
        <v>38</v>
      </c>
      <c r="H57">
        <f>H20</f>
        <v>1.0169999999999999</v>
      </c>
      <c r="I57">
        <f t="shared" si="1"/>
        <v>189.7563032650516</v>
      </c>
    </row>
    <row r="58" spans="6:9" x14ac:dyDescent="0.2">
      <c r="F58">
        <v>39</v>
      </c>
      <c r="H58">
        <f>H20</f>
        <v>1.0169999999999999</v>
      </c>
      <c r="I58">
        <f t="shared" si="1"/>
        <v>192.98216042055745</v>
      </c>
    </row>
    <row r="59" spans="6:9" x14ac:dyDescent="0.2">
      <c r="F59">
        <v>40</v>
      </c>
      <c r="H59">
        <f>H20</f>
        <v>1.0169999999999999</v>
      </c>
      <c r="I59">
        <f t="shared" si="1"/>
        <v>196.26285714770691</v>
      </c>
    </row>
    <row r="60" spans="6:9" x14ac:dyDescent="0.2">
      <c r="F60">
        <v>41</v>
      </c>
      <c r="H60">
        <f>H20</f>
        <v>1.0169999999999999</v>
      </c>
      <c r="I60">
        <f t="shared" si="1"/>
        <v>199.59932571921792</v>
      </c>
    </row>
    <row r="61" spans="6:9" x14ac:dyDescent="0.2">
      <c r="F61">
        <v>42</v>
      </c>
      <c r="H61">
        <f>H20</f>
        <v>1.0169999999999999</v>
      </c>
      <c r="I61">
        <f t="shared" si="1"/>
        <v>202.99251425644459</v>
      </c>
    </row>
    <row r="62" spans="6:9" x14ac:dyDescent="0.2">
      <c r="F62">
        <v>43</v>
      </c>
      <c r="H62">
        <f>H20</f>
        <v>1.0169999999999999</v>
      </c>
      <c r="I62">
        <f t="shared" si="1"/>
        <v>206.44338699880413</v>
      </c>
    </row>
    <row r="63" spans="6:9" x14ac:dyDescent="0.2">
      <c r="F63">
        <v>44</v>
      </c>
      <c r="H63">
        <f>H20</f>
        <v>1.0169999999999999</v>
      </c>
      <c r="I63">
        <f t="shared" si="1"/>
        <v>209.95292457778379</v>
      </c>
    </row>
    <row r="64" spans="6:9" x14ac:dyDescent="0.2">
      <c r="F64">
        <v>45</v>
      </c>
      <c r="H64">
        <f>H20</f>
        <v>1.0169999999999999</v>
      </c>
      <c r="I64">
        <f t="shared" si="1"/>
        <v>213.52212429560609</v>
      </c>
    </row>
    <row r="65" spans="6:9" x14ac:dyDescent="0.2">
      <c r="F65">
        <v>46</v>
      </c>
      <c r="H65">
        <f>H20</f>
        <v>1.0169999999999999</v>
      </c>
      <c r="I65">
        <f t="shared" si="1"/>
        <v>217.15200040863138</v>
      </c>
    </row>
    <row r="66" spans="6:9" x14ac:dyDescent="0.2">
      <c r="F66">
        <v>47</v>
      </c>
      <c r="H66">
        <f>H20</f>
        <v>1.0169999999999999</v>
      </c>
      <c r="I66">
        <f t="shared" si="1"/>
        <v>220.84358441557811</v>
      </c>
    </row>
    <row r="67" spans="6:9" x14ac:dyDescent="0.2">
      <c r="F67">
        <v>48</v>
      </c>
      <c r="H67">
        <f>H20</f>
        <v>1.0169999999999999</v>
      </c>
      <c r="I67">
        <f t="shared" si="1"/>
        <v>224.59792535064292</v>
      </c>
    </row>
    <row r="68" spans="6:9" x14ac:dyDescent="0.2">
      <c r="F68">
        <v>49</v>
      </c>
      <c r="H68">
        <f>H20</f>
        <v>1.0169999999999999</v>
      </c>
      <c r="I68">
        <f t="shared" si="1"/>
        <v>228.41609008160384</v>
      </c>
    </row>
    <row r="69" spans="6:9" x14ac:dyDescent="0.2">
      <c r="F69">
        <v>50</v>
      </c>
      <c r="H69">
        <f>H20</f>
        <v>1.0169999999999999</v>
      </c>
      <c r="I69">
        <f t="shared" si="1"/>
        <v>232.29916361299109</v>
      </c>
    </row>
    <row r="70" spans="6:9" x14ac:dyDescent="0.2">
      <c r="F70">
        <v>51</v>
      </c>
      <c r="H70">
        <f>H20</f>
        <v>1.0169999999999999</v>
      </c>
      <c r="I70">
        <f t="shared" si="1"/>
        <v>236.24824939441191</v>
      </c>
    </row>
    <row r="71" spans="6:9" x14ac:dyDescent="0.2">
      <c r="F71">
        <v>52</v>
      </c>
      <c r="H71">
        <f>H20</f>
        <v>1.0169999999999999</v>
      </c>
      <c r="I71">
        <f t="shared" si="1"/>
        <v>240.26446963411689</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S32"/>
  <sheetViews>
    <sheetView topLeftCell="A4" zoomScale="140" zoomScaleNormal="140" zoomScalePageLayoutView="200" workbookViewId="0">
      <selection activeCell="H10" sqref="H10"/>
    </sheetView>
  </sheetViews>
  <sheetFormatPr baseColWidth="10" defaultRowHeight="16" x14ac:dyDescent="0.2"/>
  <cols>
    <col min="5" max="5" width="1" customWidth="1"/>
    <col min="9" max="9" width="0.6640625" customWidth="1"/>
    <col min="18" max="19" width="22" customWidth="1"/>
    <col min="20" max="20" width="7.1640625" customWidth="1"/>
    <col min="21" max="21" width="22" customWidth="1"/>
    <col min="22" max="24" width="22.5" customWidth="1"/>
    <col min="25" max="26" width="11.83203125" customWidth="1"/>
    <col min="27" max="27" width="9.6640625" customWidth="1"/>
    <col min="28" max="28" width="17.5" customWidth="1"/>
    <col min="29" max="29" width="17" bestFit="1" customWidth="1"/>
    <col min="30" max="30" width="14.5" customWidth="1"/>
    <col min="45" max="45" width="14.33203125" bestFit="1" customWidth="1"/>
  </cols>
  <sheetData>
    <row r="1" spans="1:45" ht="34" x14ac:dyDescent="0.2">
      <c r="X1" s="153" t="s">
        <v>1130</v>
      </c>
      <c r="AE1" t="s">
        <v>932</v>
      </c>
      <c r="AH1" t="s">
        <v>83</v>
      </c>
      <c r="AI1" t="s">
        <v>935</v>
      </c>
      <c r="AJ1" t="s">
        <v>944</v>
      </c>
      <c r="AK1" t="s">
        <v>945</v>
      </c>
      <c r="AO1" s="132" t="s">
        <v>952</v>
      </c>
      <c r="AP1" s="132" t="s">
        <v>930</v>
      </c>
      <c r="AR1" s="153" t="s">
        <v>944</v>
      </c>
    </row>
    <row r="2" spans="1:45" ht="51" x14ac:dyDescent="0.2">
      <c r="X2">
        <v>0.28999999999999998</v>
      </c>
      <c r="AB2" s="132" t="s">
        <v>919</v>
      </c>
      <c r="AE2" t="s">
        <v>913</v>
      </c>
      <c r="AG2" t="s">
        <v>934</v>
      </c>
      <c r="AL2" t="s">
        <v>948</v>
      </c>
      <c r="AS2" s="132" t="s">
        <v>919</v>
      </c>
    </row>
    <row r="3" spans="1:45" x14ac:dyDescent="0.2">
      <c r="AB3" s="52">
        <v>2.4</v>
      </c>
      <c r="AE3">
        <v>6</v>
      </c>
      <c r="AF3">
        <v>100</v>
      </c>
      <c r="AG3">
        <v>1.157</v>
      </c>
      <c r="AI3" t="s">
        <v>936</v>
      </c>
      <c r="AJ3" s="61">
        <f>6759*0.29</f>
        <v>1960.11</v>
      </c>
      <c r="AS3" s="52">
        <f>AB3</f>
        <v>2.4</v>
      </c>
    </row>
    <row r="4" spans="1:45" ht="85" x14ac:dyDescent="0.2">
      <c r="A4" t="s">
        <v>923</v>
      </c>
      <c r="B4" s="132" t="s">
        <v>922</v>
      </c>
      <c r="C4" s="135" t="s">
        <v>1065</v>
      </c>
      <c r="D4" s="132" t="s">
        <v>1069</v>
      </c>
      <c r="E4" s="151"/>
      <c r="F4" s="132" t="s">
        <v>975</v>
      </c>
      <c r="G4" s="132" t="s">
        <v>976</v>
      </c>
      <c r="H4" s="132" t="s">
        <v>931</v>
      </c>
      <c r="I4" s="132"/>
      <c r="J4" s="132" t="s">
        <v>920</v>
      </c>
      <c r="K4" s="132" t="s">
        <v>928</v>
      </c>
      <c r="L4" s="132" t="s">
        <v>921</v>
      </c>
      <c r="M4" s="132" t="s">
        <v>926</v>
      </c>
      <c r="N4" s="132" t="s">
        <v>924</v>
      </c>
      <c r="O4" s="132" t="s">
        <v>929</v>
      </c>
      <c r="P4" t="s">
        <v>914</v>
      </c>
      <c r="Q4" s="132" t="s">
        <v>927</v>
      </c>
      <c r="R4" s="132" t="s">
        <v>918</v>
      </c>
      <c r="S4" s="151" t="s">
        <v>1093</v>
      </c>
      <c r="T4" s="151" t="s">
        <v>923</v>
      </c>
      <c r="U4" s="151" t="s">
        <v>1132</v>
      </c>
      <c r="V4" s="151" t="s">
        <v>1131</v>
      </c>
      <c r="W4" s="151" t="s">
        <v>1096</v>
      </c>
      <c r="X4" s="151" t="s">
        <v>1097</v>
      </c>
      <c r="Y4" s="132" t="s">
        <v>1067</v>
      </c>
      <c r="Z4" s="132" t="s">
        <v>1068</v>
      </c>
      <c r="AA4" s="132" t="s">
        <v>1066</v>
      </c>
      <c r="AB4" s="132" t="s">
        <v>925</v>
      </c>
      <c r="AC4" s="132" t="s">
        <v>1064</v>
      </c>
      <c r="AD4" s="132"/>
      <c r="AJ4" s="61"/>
    </row>
    <row r="5" spans="1:45" ht="34" x14ac:dyDescent="0.2">
      <c r="A5">
        <v>2017</v>
      </c>
      <c r="B5" s="61">
        <v>0</v>
      </c>
      <c r="C5" s="61"/>
      <c r="D5" s="61">
        <v>37829</v>
      </c>
      <c r="E5" s="61"/>
      <c r="F5" s="61">
        <f>D5</f>
        <v>37829</v>
      </c>
      <c r="H5" s="61"/>
      <c r="I5" s="61"/>
      <c r="J5" s="61">
        <f t="shared" ref="J5:J10" si="0">B5*0.29</f>
        <v>0</v>
      </c>
      <c r="K5" s="61"/>
      <c r="L5" s="61">
        <f>D5*0.29</f>
        <v>10970.41</v>
      </c>
      <c r="M5" s="61"/>
      <c r="N5" s="61">
        <f>L5-J5</f>
        <v>10970.41</v>
      </c>
      <c r="O5" s="61"/>
      <c r="P5" s="61"/>
      <c r="Q5" s="61"/>
      <c r="T5">
        <v>2017</v>
      </c>
      <c r="W5" s="61"/>
      <c r="X5" s="61"/>
      <c r="Y5" s="61">
        <f>D5-V5</f>
        <v>37829</v>
      </c>
      <c r="AC5" s="61"/>
      <c r="AD5">
        <v>2017</v>
      </c>
      <c r="AE5">
        <v>1</v>
      </c>
      <c r="AF5">
        <f>AF3*AG5</f>
        <v>115.7</v>
      </c>
      <c r="AG5">
        <f>AG3</f>
        <v>1.157</v>
      </c>
      <c r="AI5" s="132" t="s">
        <v>947</v>
      </c>
      <c r="AJ5">
        <v>14287</v>
      </c>
      <c r="AN5" s="132" t="s">
        <v>947</v>
      </c>
      <c r="AO5" s="61">
        <f>AJ5</f>
        <v>14287</v>
      </c>
      <c r="AQ5">
        <v>2017</v>
      </c>
    </row>
    <row r="6" spans="1:45" x14ac:dyDescent="0.2">
      <c r="A6">
        <v>2018</v>
      </c>
      <c r="B6" s="61">
        <f>D5</f>
        <v>37829</v>
      </c>
      <c r="C6" s="61"/>
      <c r="D6" s="61">
        <v>87094</v>
      </c>
      <c r="E6" s="112"/>
      <c r="F6" s="61">
        <f>D6-B6</f>
        <v>49265</v>
      </c>
      <c r="G6" s="61">
        <f>F6-F5</f>
        <v>11436</v>
      </c>
      <c r="H6" s="112">
        <f>(F6-F5)/F5</f>
        <v>0.30230775331095189</v>
      </c>
      <c r="I6" s="61"/>
      <c r="J6" s="61">
        <f t="shared" si="0"/>
        <v>10970.41</v>
      </c>
      <c r="K6" s="61"/>
      <c r="L6" s="61">
        <f>D6*0.29</f>
        <v>25257.26</v>
      </c>
      <c r="M6" s="61"/>
      <c r="N6" s="61">
        <f>L6-J6</f>
        <v>14286.849999999999</v>
      </c>
      <c r="O6" s="61"/>
      <c r="P6" s="112">
        <f>(N6-N5)/N5</f>
        <v>0.30230775331095178</v>
      </c>
      <c r="Q6" s="112"/>
      <c r="T6">
        <v>2018</v>
      </c>
      <c r="U6" s="61">
        <f>D6</f>
        <v>87094</v>
      </c>
      <c r="W6" s="61"/>
      <c r="X6" s="61"/>
      <c r="Y6" s="61">
        <f>D6-V6</f>
        <v>87094</v>
      </c>
      <c r="AB6" s="112"/>
      <c r="AC6" s="112"/>
      <c r="AD6">
        <v>2018</v>
      </c>
      <c r="AE6">
        <v>2</v>
      </c>
      <c r="AF6">
        <f>AF5*AG6</f>
        <v>133.86490000000001</v>
      </c>
      <c r="AG6">
        <f>AG3</f>
        <v>1.157</v>
      </c>
      <c r="AQ6">
        <v>2018</v>
      </c>
    </row>
    <row r="7" spans="1:45" x14ac:dyDescent="0.2">
      <c r="A7">
        <v>2019</v>
      </c>
      <c r="B7" s="61">
        <f>D6</f>
        <v>87094</v>
      </c>
      <c r="C7" s="61"/>
      <c r="D7" s="61">
        <v>243787</v>
      </c>
      <c r="E7" s="112"/>
      <c r="F7" s="61">
        <f>D7-B7</f>
        <v>156693</v>
      </c>
      <c r="G7" s="61">
        <f>F7-F6</f>
        <v>107428</v>
      </c>
      <c r="H7" s="112">
        <f>(F7-F6)/F6</f>
        <v>2.1806150411042324</v>
      </c>
      <c r="I7" s="61"/>
      <c r="J7" s="61">
        <f t="shared" si="0"/>
        <v>25257.26</v>
      </c>
      <c r="K7" s="61"/>
      <c r="L7" s="61">
        <f>D7*0.29</f>
        <v>70698.23</v>
      </c>
      <c r="M7" s="61"/>
      <c r="N7" s="61">
        <f>L7-J7</f>
        <v>45440.97</v>
      </c>
      <c r="O7" s="61"/>
      <c r="P7" s="112">
        <f>(N7-N6)/N6</f>
        <v>2.1806150411042324</v>
      </c>
      <c r="Q7" s="112"/>
      <c r="T7">
        <v>2019</v>
      </c>
      <c r="U7" s="61">
        <f>U6+V7</f>
        <v>205330</v>
      </c>
      <c r="V7" s="61">
        <f>AB7/X2</f>
        <v>118235.99999999999</v>
      </c>
      <c r="W7" s="61"/>
      <c r="X7" s="61"/>
      <c r="Y7" s="61">
        <f>D7-V7</f>
        <v>125551.00000000001</v>
      </c>
      <c r="AB7" s="61">
        <f>N6*AB3</f>
        <v>34288.439999999995</v>
      </c>
      <c r="AC7" s="149">
        <f>N7-AB7</f>
        <v>11152.530000000006</v>
      </c>
      <c r="AD7">
        <v>2019</v>
      </c>
      <c r="AE7">
        <v>3</v>
      </c>
      <c r="AF7">
        <f t="shared" ref="AF7:AF10" si="1">AF6*AG7</f>
        <v>154.88168930000001</v>
      </c>
      <c r="AG7">
        <f>AG3</f>
        <v>1.157</v>
      </c>
      <c r="AI7" t="s">
        <v>942</v>
      </c>
      <c r="AJ7" s="61">
        <f>8969*0.29</f>
        <v>2601.0099999999998</v>
      </c>
      <c r="AK7" s="112">
        <f>(AJ7-AJ3)/AJ3</f>
        <v>0.32697144548010054</v>
      </c>
      <c r="AQ7">
        <v>2019</v>
      </c>
    </row>
    <row r="8" spans="1:45" x14ac:dyDescent="0.2">
      <c r="A8">
        <v>2020</v>
      </c>
      <c r="B8" s="61">
        <f>D7</f>
        <v>243787</v>
      </c>
      <c r="C8" s="114"/>
      <c r="D8" s="114">
        <v>548174</v>
      </c>
      <c r="E8" s="112"/>
      <c r="F8" s="61">
        <f>D8-B8</f>
        <v>304387</v>
      </c>
      <c r="G8" s="61">
        <f>F8-F7</f>
        <v>147694</v>
      </c>
      <c r="H8" s="112">
        <f>(F8-F7)/F7</f>
        <v>0.94256922772555252</v>
      </c>
      <c r="I8" s="114"/>
      <c r="J8" s="114">
        <f t="shared" si="0"/>
        <v>70698.23</v>
      </c>
      <c r="K8" s="114"/>
      <c r="L8" s="114">
        <f>D8*0.29</f>
        <v>158970.46</v>
      </c>
      <c r="M8" s="114"/>
      <c r="N8" s="114">
        <f>L8-J8</f>
        <v>88272.23</v>
      </c>
      <c r="O8" s="133"/>
      <c r="P8" s="114"/>
      <c r="Q8" s="131">
        <f>((M8*2)-AB8)/AB8</f>
        <v>-1</v>
      </c>
      <c r="R8" s="61">
        <f>'Halt increase'!I24</f>
        <v>28915534804.753822</v>
      </c>
      <c r="S8" s="61"/>
      <c r="T8">
        <v>2020</v>
      </c>
      <c r="U8" s="61">
        <f t="shared" ref="U8:U24" si="2">U7+V8</f>
        <v>489096.39999999997</v>
      </c>
      <c r="V8" s="61">
        <f>AB8/X2</f>
        <v>283766.39999999997</v>
      </c>
      <c r="W8" s="61"/>
      <c r="X8" s="61"/>
      <c r="Y8" s="61">
        <f>D8-V8</f>
        <v>264407.60000000003</v>
      </c>
      <c r="AA8" s="61"/>
      <c r="AB8" s="114">
        <f>AB7*AB3</f>
        <v>82292.255999999979</v>
      </c>
      <c r="AC8" s="149">
        <f>N8-AB8</f>
        <v>5979.9740000000165</v>
      </c>
      <c r="AD8">
        <v>2020</v>
      </c>
      <c r="AE8">
        <v>4</v>
      </c>
      <c r="AF8">
        <f t="shared" si="1"/>
        <v>179.19811452010001</v>
      </c>
      <c r="AG8">
        <f>AG3</f>
        <v>1.157</v>
      </c>
      <c r="AI8" t="s">
        <v>937</v>
      </c>
      <c r="AJ8" s="61">
        <f>15953*0.29</f>
        <v>4626.37</v>
      </c>
      <c r="AK8" s="112">
        <f>(AJ8-AJ7)/AJ7</f>
        <v>0.77868212732746134</v>
      </c>
      <c r="AQ8">
        <v>2020</v>
      </c>
    </row>
    <row r="9" spans="1:45" x14ac:dyDescent="0.2">
      <c r="A9">
        <v>2021</v>
      </c>
      <c r="B9" s="61">
        <f>D8</f>
        <v>548174</v>
      </c>
      <c r="C9" s="61"/>
      <c r="D9" s="166">
        <v>919988</v>
      </c>
      <c r="E9" s="112"/>
      <c r="F9" s="61">
        <f>(D9-B9)</f>
        <v>371814</v>
      </c>
      <c r="G9" s="61"/>
      <c r="H9" s="112">
        <f>(F9-F8)/F8</f>
        <v>0.22151734469606127</v>
      </c>
      <c r="I9" s="61"/>
      <c r="J9" s="61">
        <f t="shared" si="0"/>
        <v>158970.46</v>
      </c>
      <c r="K9" s="61"/>
      <c r="L9" s="61">
        <f>D9*0.29</f>
        <v>266796.51999999996</v>
      </c>
      <c r="M9" s="61"/>
      <c r="N9" s="66">
        <f>(L9-J9)*2</f>
        <v>215652.11999999994</v>
      </c>
      <c r="O9" s="61"/>
      <c r="P9" s="61"/>
      <c r="Q9" s="61"/>
      <c r="R9" s="61">
        <f>R8</f>
        <v>28915534804.753822</v>
      </c>
      <c r="S9" s="61"/>
      <c r="T9">
        <v>2021</v>
      </c>
      <c r="U9" s="61">
        <f t="shared" si="2"/>
        <v>1170135.7599999998</v>
      </c>
      <c r="V9" s="61">
        <f>AB9/X2</f>
        <v>681039.35999999987</v>
      </c>
      <c r="W9" s="61"/>
      <c r="X9" s="61"/>
      <c r="Y9" s="61">
        <f>D9-V9</f>
        <v>238948.64000000013</v>
      </c>
      <c r="AA9" s="61">
        <f>AB9/0.29</f>
        <v>681039.35999999987</v>
      </c>
      <c r="AB9" s="61">
        <f>AB8*AB3</f>
        <v>197501.41439999995</v>
      </c>
      <c r="AC9" s="150">
        <f>N9-AB9</f>
        <v>18150.705599999987</v>
      </c>
      <c r="AD9">
        <v>2021</v>
      </c>
      <c r="AE9">
        <v>5</v>
      </c>
      <c r="AF9">
        <f t="shared" si="1"/>
        <v>207.33221849975573</v>
      </c>
      <c r="AG9">
        <f>AG3</f>
        <v>1.157</v>
      </c>
      <c r="AI9" t="s">
        <v>938</v>
      </c>
      <c r="AJ9" s="61">
        <f>23973*0.29</f>
        <v>6952.1699999999992</v>
      </c>
      <c r="AK9" s="112">
        <f t="shared" ref="AK9:AK12" si="3">(AJ9-AJ8)/AJ8</f>
        <v>0.50272675985708004</v>
      </c>
      <c r="AQ9">
        <v>2021</v>
      </c>
      <c r="AR9">
        <v>1000</v>
      </c>
      <c r="AS9" s="61"/>
    </row>
    <row r="10" spans="1:45" x14ac:dyDescent="0.2">
      <c r="A10">
        <v>2022</v>
      </c>
      <c r="B10" s="61">
        <f>D9</f>
        <v>919988</v>
      </c>
      <c r="C10" s="61"/>
      <c r="D10" s="61"/>
      <c r="E10" s="61"/>
      <c r="F10" s="61"/>
      <c r="G10" s="61"/>
      <c r="H10" s="61"/>
      <c r="I10" s="61"/>
      <c r="J10" s="61">
        <f t="shared" si="0"/>
        <v>266796.51999999996</v>
      </c>
      <c r="K10" s="61"/>
      <c r="L10" s="61"/>
      <c r="M10" s="61"/>
      <c r="N10" s="61"/>
      <c r="O10" s="61"/>
      <c r="P10" s="61"/>
      <c r="Q10" s="61"/>
      <c r="R10" s="61">
        <f>R8</f>
        <v>28915534804.753822</v>
      </c>
      <c r="S10" s="61"/>
      <c r="T10">
        <v>2022</v>
      </c>
      <c r="U10" s="61">
        <f t="shared" si="2"/>
        <v>2804630.2239999995</v>
      </c>
      <c r="V10" s="61">
        <f>AB10/X2</f>
        <v>1634494.4639999997</v>
      </c>
      <c r="W10" s="61"/>
      <c r="X10" s="61"/>
      <c r="Y10" s="61"/>
      <c r="Z10" s="61"/>
      <c r="AA10" s="61">
        <f>AB10/0.29</f>
        <v>1634494.4639999997</v>
      </c>
      <c r="AB10" s="61">
        <f>AB9*AB3</f>
        <v>474003.39455999987</v>
      </c>
      <c r="AD10">
        <v>2022</v>
      </c>
      <c r="AE10">
        <v>6</v>
      </c>
      <c r="AF10">
        <f t="shared" si="1"/>
        <v>239.88337680421739</v>
      </c>
      <c r="AG10">
        <f>AG3</f>
        <v>1.157</v>
      </c>
      <c r="AI10" t="s">
        <v>939</v>
      </c>
      <c r="AJ10" s="61">
        <f>29714*0.29</f>
        <v>8617.06</v>
      </c>
      <c r="AK10" s="112">
        <f t="shared" si="3"/>
        <v>0.23947774579735542</v>
      </c>
      <c r="AQ10">
        <v>2022</v>
      </c>
      <c r="AS10" s="61">
        <f>AR9*AS3</f>
        <v>2400</v>
      </c>
    </row>
    <row r="11" spans="1:45" x14ac:dyDescent="0.2">
      <c r="A11">
        <v>2023</v>
      </c>
      <c r="B11" s="61"/>
      <c r="C11" s="61"/>
      <c r="D11" s="61"/>
      <c r="E11" s="61"/>
      <c r="F11" s="61"/>
      <c r="G11" s="61"/>
      <c r="H11" s="61"/>
      <c r="I11" s="61"/>
      <c r="J11" s="61"/>
      <c r="K11" s="61"/>
      <c r="L11" s="61"/>
      <c r="M11" s="61"/>
      <c r="N11" s="61"/>
      <c r="O11" s="61"/>
      <c r="P11" s="61"/>
      <c r="Q11" s="61"/>
      <c r="R11" s="61">
        <f>R8</f>
        <v>28915534804.753822</v>
      </c>
      <c r="S11" s="61"/>
      <c r="T11">
        <v>2023</v>
      </c>
      <c r="U11" s="61">
        <f t="shared" si="2"/>
        <v>6727416.937599998</v>
      </c>
      <c r="V11" s="61">
        <f>AB11/X2</f>
        <v>3922786.713599999</v>
      </c>
      <c r="W11" s="61"/>
      <c r="X11" s="61"/>
      <c r="Y11" s="61"/>
      <c r="Z11" s="61"/>
      <c r="AA11" s="61"/>
      <c r="AB11" s="61">
        <f>AB10*AB3</f>
        <v>1137608.1469439997</v>
      </c>
      <c r="AD11">
        <v>2023</v>
      </c>
      <c r="AI11" t="s">
        <v>940</v>
      </c>
      <c r="AJ11" s="61">
        <v>10532</v>
      </c>
      <c r="AK11" s="112">
        <f t="shared" si="3"/>
        <v>0.22222660629031254</v>
      </c>
      <c r="AQ11">
        <v>2023</v>
      </c>
      <c r="AS11" s="61">
        <f>AS10*AS3</f>
        <v>5760</v>
      </c>
    </row>
    <row r="12" spans="1:45" x14ac:dyDescent="0.2">
      <c r="A12">
        <v>2024</v>
      </c>
      <c r="B12" s="61"/>
      <c r="C12" s="61"/>
      <c r="D12" s="61"/>
      <c r="E12" s="61"/>
      <c r="F12" s="61"/>
      <c r="G12" s="61"/>
      <c r="H12" s="61"/>
      <c r="I12" s="61"/>
      <c r="J12" s="61"/>
      <c r="K12" s="61"/>
      <c r="L12" s="61"/>
      <c r="M12" s="61"/>
      <c r="N12" s="61"/>
      <c r="O12" s="61"/>
      <c r="P12" s="61"/>
      <c r="Q12" s="61"/>
      <c r="R12" s="61">
        <f>R8</f>
        <v>28915534804.753822</v>
      </c>
      <c r="S12" s="61"/>
      <c r="T12">
        <v>2024</v>
      </c>
      <c r="U12" s="61">
        <f t="shared" si="2"/>
        <v>16142105.050239995</v>
      </c>
      <c r="V12" s="61">
        <f>AB12/X2</f>
        <v>9414688.1126399972</v>
      </c>
      <c r="W12" s="61"/>
      <c r="X12" s="61"/>
      <c r="Y12" s="61"/>
      <c r="Z12" s="61"/>
      <c r="AA12" s="61"/>
      <c r="AB12" s="61">
        <f>AB11*AB3</f>
        <v>2730259.5526655992</v>
      </c>
      <c r="AD12">
        <v>2024</v>
      </c>
      <c r="AE12" t="s">
        <v>5</v>
      </c>
      <c r="AF12">
        <f>SUM(AF5:AF10)</f>
        <v>1030.8602991240732</v>
      </c>
      <c r="AI12" t="s">
        <v>941</v>
      </c>
      <c r="AJ12" s="61">
        <v>11616</v>
      </c>
      <c r="AK12" s="112">
        <f t="shared" si="3"/>
        <v>0.10292442081276111</v>
      </c>
      <c r="AQ12">
        <v>2024</v>
      </c>
      <c r="AS12" s="61">
        <f>AS11*AS3</f>
        <v>13824</v>
      </c>
    </row>
    <row r="13" spans="1:45" ht="34" x14ac:dyDescent="0.2">
      <c r="A13">
        <v>2025</v>
      </c>
      <c r="B13" s="61"/>
      <c r="C13" s="61"/>
      <c r="D13" s="61"/>
      <c r="E13" s="61"/>
      <c r="F13" s="61"/>
      <c r="G13" s="61"/>
      <c r="H13" s="61"/>
      <c r="I13" s="61"/>
      <c r="J13" s="61"/>
      <c r="K13" s="61"/>
      <c r="L13" s="61"/>
      <c r="M13" s="61"/>
      <c r="N13" s="61"/>
      <c r="O13" s="61"/>
      <c r="P13" s="61"/>
      <c r="Q13" s="61"/>
      <c r="R13" s="61">
        <f>R8</f>
        <v>28915534804.753822</v>
      </c>
      <c r="S13" s="61"/>
      <c r="T13">
        <v>2025</v>
      </c>
      <c r="U13" s="61">
        <f t="shared" si="2"/>
        <v>38737356.520575985</v>
      </c>
      <c r="V13" s="61">
        <f>AB13/X2</f>
        <v>22595251.470335994</v>
      </c>
      <c r="W13" s="61"/>
      <c r="X13" s="61"/>
      <c r="Y13" s="61"/>
      <c r="Z13" s="61"/>
      <c r="AA13" s="61"/>
      <c r="AB13" s="61">
        <f>AB12*AB3</f>
        <v>6552622.9263974382</v>
      </c>
      <c r="AD13">
        <v>2025</v>
      </c>
      <c r="AH13" t="s">
        <v>83</v>
      </c>
      <c r="AJ13" s="61"/>
      <c r="AL13" s="132" t="s">
        <v>949</v>
      </c>
      <c r="AM13" s="132" t="s">
        <v>951</v>
      </c>
      <c r="AN13" s="132"/>
      <c r="AQ13">
        <v>2025</v>
      </c>
      <c r="AS13" s="61">
        <f>AS12*AS3</f>
        <v>33177.599999999999</v>
      </c>
    </row>
    <row r="14" spans="1:45" ht="34" x14ac:dyDescent="0.2">
      <c r="A14">
        <v>2026</v>
      </c>
      <c r="B14" s="61"/>
      <c r="C14" s="61"/>
      <c r="D14" s="61"/>
      <c r="E14" s="61"/>
      <c r="F14" s="61"/>
      <c r="G14" s="61"/>
      <c r="H14" s="61"/>
      <c r="I14" s="61"/>
      <c r="J14" s="61"/>
      <c r="K14" s="61"/>
      <c r="L14" s="61"/>
      <c r="M14" s="61"/>
      <c r="N14" s="61"/>
      <c r="O14" s="61"/>
      <c r="P14" s="61"/>
      <c r="Q14" s="61"/>
      <c r="R14" s="61">
        <f>R8</f>
        <v>28915534804.753822</v>
      </c>
      <c r="S14" s="61"/>
      <c r="T14">
        <v>2026</v>
      </c>
      <c r="U14" s="61">
        <f t="shared" si="2"/>
        <v>92965960.049382374</v>
      </c>
      <c r="V14" s="61">
        <f>AB14/X2</f>
        <v>54228603.528806388</v>
      </c>
      <c r="W14" s="61"/>
      <c r="X14" s="61"/>
      <c r="Y14" s="61"/>
      <c r="Z14" s="61"/>
      <c r="AA14" s="61"/>
      <c r="AB14" s="61">
        <f>AB13*AB3</f>
        <v>15726295.02335385</v>
      </c>
      <c r="AD14">
        <v>2026</v>
      </c>
      <c r="AE14">
        <v>1</v>
      </c>
      <c r="AF14">
        <f>AF10*AG14</f>
        <v>277.54506696247955</v>
      </c>
      <c r="AG14">
        <f>AG3</f>
        <v>1.157</v>
      </c>
      <c r="AH14" s="112">
        <f>(AF14-AF10)/AF10</f>
        <v>0.15700000000000014</v>
      </c>
      <c r="AI14" t="s">
        <v>946</v>
      </c>
      <c r="AJ14" s="61">
        <f>SUM(AJ7:AJ12)</f>
        <v>44944.61</v>
      </c>
      <c r="AK14" s="112">
        <f>(AJ14-AJ5)/AJ5</f>
        <v>2.1458395744383005</v>
      </c>
      <c r="AN14" s="132" t="s">
        <v>953</v>
      </c>
      <c r="AO14" s="61">
        <f>AO5*AP14</f>
        <v>34288.799999999996</v>
      </c>
      <c r="AP14">
        <v>2.4</v>
      </c>
      <c r="AQ14">
        <v>2026</v>
      </c>
      <c r="AS14" s="61">
        <f>AS13*AS3</f>
        <v>79626.239999999991</v>
      </c>
    </row>
    <row r="15" spans="1:45" x14ac:dyDescent="0.2">
      <c r="A15">
        <v>2027</v>
      </c>
      <c r="B15" s="61"/>
      <c r="C15" s="61"/>
      <c r="D15" s="61"/>
      <c r="E15" s="61"/>
      <c r="F15" s="61"/>
      <c r="G15" s="61"/>
      <c r="H15" s="61"/>
      <c r="I15" s="61"/>
      <c r="J15" s="61"/>
      <c r="K15" s="61"/>
      <c r="L15" s="61"/>
      <c r="M15" s="61"/>
      <c r="N15" s="61"/>
      <c r="O15" s="61"/>
      <c r="P15" s="61"/>
      <c r="Q15" s="61"/>
      <c r="R15" s="61">
        <f>R8</f>
        <v>28915534804.753822</v>
      </c>
      <c r="S15" s="61"/>
      <c r="T15">
        <v>2027</v>
      </c>
      <c r="U15" s="61">
        <f t="shared" si="2"/>
        <v>223114608.5185177</v>
      </c>
      <c r="V15" s="61">
        <f>AB15/X2</f>
        <v>130148648.46913533</v>
      </c>
      <c r="W15" s="61"/>
      <c r="X15" s="61"/>
      <c r="Y15" s="61"/>
      <c r="Z15" s="61"/>
      <c r="AA15" s="61"/>
      <c r="AB15" s="61">
        <f>AB14*AB3</f>
        <v>37743108.056049243</v>
      </c>
      <c r="AD15">
        <v>2027</v>
      </c>
      <c r="AE15">
        <v>2</v>
      </c>
      <c r="AF15">
        <f>AF14*AG15</f>
        <v>321.11964247558888</v>
      </c>
      <c r="AG15">
        <f>AG3</f>
        <v>1.157</v>
      </c>
      <c r="AH15" s="112">
        <f>(AF15-AF10)/AF10</f>
        <v>0.33864900000000031</v>
      </c>
      <c r="AJ15" s="61"/>
      <c r="AQ15">
        <v>2027</v>
      </c>
      <c r="AS15" s="61">
        <f>AS14*AS3</f>
        <v>191102.97599999997</v>
      </c>
    </row>
    <row r="16" spans="1:45" x14ac:dyDescent="0.2">
      <c r="A16">
        <v>2028</v>
      </c>
      <c r="B16" s="61"/>
      <c r="C16" s="61"/>
      <c r="D16" s="61"/>
      <c r="E16" s="61"/>
      <c r="F16" s="61"/>
      <c r="G16" s="61"/>
      <c r="H16" s="61"/>
      <c r="I16" s="61"/>
      <c r="J16" s="61"/>
      <c r="K16" s="61"/>
      <c r="L16" s="61"/>
      <c r="M16" s="61"/>
      <c r="N16" s="61"/>
      <c r="O16" s="61"/>
      <c r="P16" s="61"/>
      <c r="Q16" s="61"/>
      <c r="R16" s="61">
        <f>R8</f>
        <v>28915534804.753822</v>
      </c>
      <c r="S16" s="61"/>
      <c r="T16">
        <v>2028</v>
      </c>
      <c r="U16" s="61">
        <f t="shared" si="2"/>
        <v>535471364.84444249</v>
      </c>
      <c r="V16" s="61">
        <f>AB16/X2</f>
        <v>312356756.32592475</v>
      </c>
      <c r="W16" s="61"/>
      <c r="X16" s="61"/>
      <c r="Y16" s="61"/>
      <c r="Z16" s="61"/>
      <c r="AA16" s="61"/>
      <c r="AB16" s="61">
        <f>AB15*AB3</f>
        <v>90583459.334518179</v>
      </c>
      <c r="AD16">
        <v>2028</v>
      </c>
      <c r="AE16">
        <v>3</v>
      </c>
      <c r="AF16">
        <f t="shared" ref="AF16:AF19" si="4">AF15*AG16</f>
        <v>371.53542634425634</v>
      </c>
      <c r="AG16">
        <f>AG3</f>
        <v>1.157</v>
      </c>
      <c r="AH16" s="112">
        <f>(AF16-AF10)/AF10</f>
        <v>0.54881689300000036</v>
      </c>
      <c r="AI16" t="s">
        <v>943</v>
      </c>
      <c r="AJ16" s="61">
        <v>13078</v>
      </c>
      <c r="AK16" s="112">
        <f>(AJ16-AJ12)/AJ12</f>
        <v>0.12586088154269973</v>
      </c>
      <c r="AQ16">
        <v>2028</v>
      </c>
      <c r="AS16" s="61">
        <f>AS15*AS3</f>
        <v>458647.1423999999</v>
      </c>
    </row>
    <row r="17" spans="1:45" x14ac:dyDescent="0.2">
      <c r="A17">
        <v>2029</v>
      </c>
      <c r="B17" s="61"/>
      <c r="C17" s="61"/>
      <c r="D17" s="61"/>
      <c r="E17" s="61"/>
      <c r="F17" s="61"/>
      <c r="G17" s="61"/>
      <c r="H17" s="61"/>
      <c r="I17" s="61"/>
      <c r="J17" s="61"/>
      <c r="K17" s="61"/>
      <c r="L17" s="61"/>
      <c r="M17" s="61"/>
      <c r="N17" s="61"/>
      <c r="O17" s="61"/>
      <c r="P17" s="61"/>
      <c r="Q17" s="61"/>
      <c r="R17" s="61">
        <f>R8</f>
        <v>28915534804.753822</v>
      </c>
      <c r="S17" s="61"/>
      <c r="T17">
        <v>2029</v>
      </c>
      <c r="U17" s="61">
        <f t="shared" si="2"/>
        <v>1285127580.0266619</v>
      </c>
      <c r="V17" s="61">
        <f>AB17/X2</f>
        <v>749656215.18221951</v>
      </c>
      <c r="W17" s="61"/>
      <c r="X17" s="61"/>
      <c r="Y17" s="61"/>
      <c r="Z17" s="61"/>
      <c r="AA17" s="61"/>
      <c r="AB17" s="61">
        <f>AB16*AB3</f>
        <v>217400302.40284362</v>
      </c>
      <c r="AD17">
        <v>2029</v>
      </c>
      <c r="AE17">
        <v>4</v>
      </c>
      <c r="AF17">
        <f t="shared" si="4"/>
        <v>429.86648828030457</v>
      </c>
      <c r="AG17">
        <f>AG3</f>
        <v>1.157</v>
      </c>
      <c r="AH17" s="112">
        <f>(AF17-AF10)/AF10</f>
        <v>0.79198114520100038</v>
      </c>
      <c r="AI17" t="s">
        <v>937</v>
      </c>
      <c r="AJ17" s="61">
        <v>14081</v>
      </c>
      <c r="AK17" s="112">
        <f>(AJ17-AJ16)/AJ16</f>
        <v>7.6693684049548863E-2</v>
      </c>
      <c r="AQ17">
        <v>2029</v>
      </c>
      <c r="AS17" s="61">
        <f>AS16*AS3</f>
        <v>1100753.1417599998</v>
      </c>
    </row>
    <row r="18" spans="1:45" x14ac:dyDescent="0.2">
      <c r="A18">
        <v>2030</v>
      </c>
      <c r="B18" s="61"/>
      <c r="C18" s="61"/>
      <c r="D18" s="61"/>
      <c r="E18" s="61"/>
      <c r="F18" s="61"/>
      <c r="G18" s="61"/>
      <c r="H18" s="61"/>
      <c r="I18" s="61"/>
      <c r="J18" s="61"/>
      <c r="K18" s="61"/>
      <c r="L18" s="61"/>
      <c r="M18" s="61"/>
      <c r="N18" s="61"/>
      <c r="O18" s="61"/>
      <c r="P18" s="61"/>
      <c r="Q18" s="61"/>
      <c r="R18" s="61">
        <f>R8</f>
        <v>28915534804.753822</v>
      </c>
      <c r="S18" s="61"/>
      <c r="T18">
        <v>2030</v>
      </c>
      <c r="U18" s="61">
        <f t="shared" si="2"/>
        <v>3084302496.4639883</v>
      </c>
      <c r="V18" s="61">
        <f>AB18/X2</f>
        <v>1799174916.4373264</v>
      </c>
      <c r="W18" s="61"/>
      <c r="X18" s="61"/>
      <c r="Y18" s="61"/>
      <c r="Z18" s="61"/>
      <c r="AA18" s="61"/>
      <c r="AB18" s="61">
        <f>AB17*AB3</f>
        <v>521760725.76682466</v>
      </c>
      <c r="AD18">
        <v>2030</v>
      </c>
      <c r="AE18">
        <v>5</v>
      </c>
      <c r="AF18">
        <f t="shared" si="4"/>
        <v>497.35552694031242</v>
      </c>
      <c r="AG18">
        <f>AG3</f>
        <v>1.157</v>
      </c>
      <c r="AH18" s="112">
        <f>(AF18-AF10)/AF10</f>
        <v>1.0733221849975576</v>
      </c>
      <c r="AI18" t="s">
        <v>938</v>
      </c>
      <c r="AJ18" s="61">
        <v>14494</v>
      </c>
      <c r="AK18" s="112">
        <f t="shared" ref="AK18" si="5">(AJ18-AJ17)/AJ17</f>
        <v>2.9330303245508133E-2</v>
      </c>
      <c r="AQ18">
        <v>2030</v>
      </c>
      <c r="AS18" s="61">
        <f>AS17*AS3</f>
        <v>2641807.5402239994</v>
      </c>
    </row>
    <row r="19" spans="1:45" x14ac:dyDescent="0.2">
      <c r="A19">
        <v>2031</v>
      </c>
      <c r="B19" s="61"/>
      <c r="C19" s="61"/>
      <c r="D19" s="61"/>
      <c r="E19" s="61"/>
      <c r="F19" s="61"/>
      <c r="G19" s="61"/>
      <c r="H19" s="61"/>
      <c r="I19" s="61"/>
      <c r="J19" s="61"/>
      <c r="K19" s="61"/>
      <c r="L19" s="61"/>
      <c r="M19" s="61"/>
      <c r="N19" s="61"/>
      <c r="O19" s="61"/>
      <c r="P19" s="61"/>
      <c r="Q19" s="61"/>
      <c r="R19" s="61">
        <f>R8</f>
        <v>28915534804.753822</v>
      </c>
      <c r="S19" s="61"/>
      <c r="T19">
        <v>2031</v>
      </c>
      <c r="U19" s="61">
        <f t="shared" si="2"/>
        <v>7402322295.9135723</v>
      </c>
      <c r="V19" s="61">
        <f>AB19/X2</f>
        <v>4318019799.449584</v>
      </c>
      <c r="W19" s="61"/>
      <c r="X19" s="61"/>
      <c r="Y19" s="61"/>
      <c r="Z19" s="61"/>
      <c r="AA19" s="61"/>
      <c r="AB19" s="61">
        <f>AB18*AB3</f>
        <v>1252225741.8403792</v>
      </c>
      <c r="AD19">
        <v>2031</v>
      </c>
      <c r="AE19">
        <v>6</v>
      </c>
      <c r="AF19">
        <f t="shared" si="4"/>
        <v>575.44034466994151</v>
      </c>
      <c r="AG19">
        <f>AG3</f>
        <v>1.157</v>
      </c>
      <c r="AH19" s="112">
        <f>(AF19-AF10)/AF10</f>
        <v>1.3988337680421743</v>
      </c>
      <c r="AI19" t="s">
        <v>939</v>
      </c>
      <c r="AJ19" s="61"/>
      <c r="AK19" s="112"/>
      <c r="AL19" s="130">
        <f>AJ18*AM19</f>
        <v>14494</v>
      </c>
      <c r="AM19">
        <v>1</v>
      </c>
      <c r="AQ19">
        <v>2031</v>
      </c>
      <c r="AS19" s="61">
        <f>AS18*AS3</f>
        <v>6340338.0965375984</v>
      </c>
    </row>
    <row r="20" spans="1:45" ht="68" x14ac:dyDescent="0.2">
      <c r="A20">
        <v>2032</v>
      </c>
      <c r="B20" s="61"/>
      <c r="C20" s="61"/>
      <c r="D20" s="61"/>
      <c r="E20" s="61"/>
      <c r="F20" s="61"/>
      <c r="G20" s="61"/>
      <c r="H20" s="61"/>
      <c r="I20" s="61"/>
      <c r="J20" s="61"/>
      <c r="K20" s="61"/>
      <c r="L20" s="61"/>
      <c r="M20" s="61"/>
      <c r="N20" s="61"/>
      <c r="O20" s="61"/>
      <c r="P20" s="61"/>
      <c r="Q20" s="61"/>
      <c r="R20" s="61">
        <f>R8</f>
        <v>28915534804.753822</v>
      </c>
      <c r="S20" s="61"/>
      <c r="T20">
        <v>2032</v>
      </c>
      <c r="U20" s="61">
        <f t="shared" si="2"/>
        <v>17765569814.592575</v>
      </c>
      <c r="V20" s="61">
        <f>AB20/X2</f>
        <v>10363247518.679001</v>
      </c>
      <c r="W20" s="61"/>
      <c r="X20" s="61"/>
      <c r="Y20" s="61"/>
      <c r="Z20" s="61"/>
      <c r="AA20" s="61"/>
      <c r="AB20" s="61">
        <f>AB19*AB3</f>
        <v>3005341780.4169102</v>
      </c>
      <c r="AD20">
        <v>2032</v>
      </c>
      <c r="AH20" s="132" t="s">
        <v>933</v>
      </c>
      <c r="AI20" t="s">
        <v>940</v>
      </c>
      <c r="AJ20" s="61"/>
      <c r="AK20" s="112"/>
      <c r="AL20" s="130">
        <f>AL19*AM20</f>
        <v>14494</v>
      </c>
      <c r="AM20">
        <f>AM19</f>
        <v>1</v>
      </c>
      <c r="AQ20">
        <v>2032</v>
      </c>
      <c r="AS20" s="61">
        <f>AS19*AS3</f>
        <v>15216811.431690235</v>
      </c>
    </row>
    <row r="21" spans="1:45" x14ac:dyDescent="0.2">
      <c r="A21">
        <v>2033</v>
      </c>
      <c r="B21" s="61"/>
      <c r="C21" s="61"/>
      <c r="D21" s="61"/>
      <c r="E21" s="61"/>
      <c r="F21" s="61"/>
      <c r="G21" s="61"/>
      <c r="H21" s="61"/>
      <c r="I21" s="61"/>
      <c r="J21" s="61"/>
      <c r="K21" s="61"/>
      <c r="L21" s="61"/>
      <c r="M21" s="61"/>
      <c r="N21" s="61"/>
      <c r="O21" s="61"/>
      <c r="P21" s="61"/>
      <c r="Q21" s="61"/>
      <c r="R21" s="61">
        <f>R8</f>
        <v>28915534804.753822</v>
      </c>
      <c r="S21" s="61"/>
      <c r="T21">
        <v>2033</v>
      </c>
      <c r="U21" s="61">
        <f t="shared" si="2"/>
        <v>42637363859.42218</v>
      </c>
      <c r="V21" s="61">
        <f>AB21/X2</f>
        <v>24871794044.829605</v>
      </c>
      <c r="W21" s="61"/>
      <c r="X21" s="61"/>
      <c r="Y21" s="61"/>
      <c r="Z21" s="61"/>
      <c r="AA21" s="61"/>
      <c r="AB21" s="61">
        <f>AB20*AB3</f>
        <v>7212820273.0005846</v>
      </c>
      <c r="AD21">
        <v>2033</v>
      </c>
      <c r="AE21" t="s">
        <v>5</v>
      </c>
      <c r="AF21">
        <f>SUM(AF14:AF19)</f>
        <v>2472.8624956728836</v>
      </c>
      <c r="AH21" s="112">
        <f>(AF21-AF12)/AF12</f>
        <v>1.3988337680421745</v>
      </c>
      <c r="AI21" t="s">
        <v>941</v>
      </c>
      <c r="AJ21" s="61"/>
      <c r="AK21" s="112"/>
      <c r="AL21" s="130">
        <f>AL20*AM21</f>
        <v>14494</v>
      </c>
      <c r="AM21">
        <f>AM20</f>
        <v>1</v>
      </c>
      <c r="AQ21">
        <v>2033</v>
      </c>
      <c r="AS21" s="61">
        <f>AS20*AS3</f>
        <v>36520347.436056562</v>
      </c>
    </row>
    <row r="22" spans="1:45" x14ac:dyDescent="0.2">
      <c r="A22">
        <v>2034</v>
      </c>
      <c r="B22" s="61"/>
      <c r="C22" s="61"/>
      <c r="D22" s="61"/>
      <c r="E22" s="61"/>
      <c r="F22" s="61"/>
      <c r="G22" s="61"/>
      <c r="H22" s="61"/>
      <c r="I22" s="61"/>
      <c r="J22" s="61"/>
      <c r="K22" s="61"/>
      <c r="L22" s="61"/>
      <c r="M22" s="61"/>
      <c r="N22" s="61"/>
      <c r="O22" s="61"/>
      <c r="P22" s="61"/>
      <c r="Q22" s="61"/>
      <c r="R22" s="114">
        <f>R8</f>
        <v>28915534804.753822</v>
      </c>
      <c r="S22" s="114">
        <f>W22*0.29/1.13</f>
        <v>8936237506.3724041</v>
      </c>
      <c r="T22">
        <v>2034</v>
      </c>
      <c r="U22" s="61">
        <f t="shared" si="2"/>
        <v>102329669567.01321</v>
      </c>
      <c r="V22" s="61">
        <f>AB22/X2</f>
        <v>59692305707.591042</v>
      </c>
      <c r="W22" s="114">
        <f>V22-V21</f>
        <v>34820511662.761436</v>
      </c>
      <c r="X22" s="114"/>
      <c r="Y22" s="61"/>
      <c r="Z22" s="61"/>
      <c r="AA22" s="61"/>
      <c r="AB22" s="114">
        <f>AB21*AB3</f>
        <v>17310768655.201401</v>
      </c>
      <c r="AD22">
        <v>2034</v>
      </c>
      <c r="AQ22">
        <v>2034</v>
      </c>
      <c r="AS22" s="61">
        <f>AS21*AS3</f>
        <v>87648833.846535742</v>
      </c>
    </row>
    <row r="23" spans="1:45" ht="34" x14ac:dyDescent="0.2">
      <c r="A23">
        <v>2035</v>
      </c>
      <c r="B23" s="61"/>
      <c r="C23" s="61"/>
      <c r="D23" s="61"/>
      <c r="E23" s="61"/>
      <c r="F23" s="61"/>
      <c r="G23" s="61"/>
      <c r="H23" s="61"/>
      <c r="I23" s="61"/>
      <c r="J23" s="61"/>
      <c r="K23" s="61"/>
      <c r="L23" s="61"/>
      <c r="M23" s="61"/>
      <c r="N23" s="61"/>
      <c r="O23" s="61"/>
      <c r="P23" s="61"/>
      <c r="Q23" s="61"/>
      <c r="R23" s="114">
        <f>R8</f>
        <v>28915534804.753822</v>
      </c>
      <c r="S23" s="152">
        <f>W23*0.29/1.13</f>
        <v>21446970015.293774</v>
      </c>
      <c r="T23">
        <v>2035</v>
      </c>
      <c r="U23" s="61">
        <f t="shared" si="2"/>
        <v>245591203265.23172</v>
      </c>
      <c r="V23" s="61">
        <f>AB23/X2</f>
        <v>143261533698.21851</v>
      </c>
      <c r="W23" s="152">
        <f>V23-V22</f>
        <v>83569227990.627472</v>
      </c>
      <c r="X23" s="152">
        <f>R23/52*2</f>
        <v>1112135954.0289931</v>
      </c>
      <c r="Y23" s="61"/>
      <c r="Z23" s="61"/>
      <c r="AA23" s="61"/>
      <c r="AB23" s="61">
        <f>AB22*AB3</f>
        <v>41545844772.48336</v>
      </c>
      <c r="AD23">
        <v>2035</v>
      </c>
      <c r="AI23" t="s">
        <v>950</v>
      </c>
      <c r="AJ23" s="61">
        <f>AJ16+AJ17+AJ18+AL19+AL20+AL21</f>
        <v>85135</v>
      </c>
      <c r="AK23" s="112">
        <f>(AJ23-AJ14)/AJ14</f>
        <v>0.8942204638108997</v>
      </c>
      <c r="AN23" s="132" t="s">
        <v>954</v>
      </c>
      <c r="AO23" s="61">
        <f>AO14*AP23</f>
        <v>82293.119999999981</v>
      </c>
      <c r="AP23">
        <v>2.4</v>
      </c>
      <c r="AQ23">
        <v>2035</v>
      </c>
      <c r="AS23" s="61">
        <f>AS22*AS3</f>
        <v>210357201.23168579</v>
      </c>
    </row>
    <row r="24" spans="1:45" x14ac:dyDescent="0.2">
      <c r="A24">
        <v>2036</v>
      </c>
      <c r="B24" s="61"/>
      <c r="C24" s="61"/>
      <c r="D24" s="61"/>
      <c r="E24" s="61"/>
      <c r="F24" s="61"/>
      <c r="G24" s="61"/>
      <c r="H24" s="61"/>
      <c r="I24" s="61"/>
      <c r="J24" s="61"/>
      <c r="K24" s="61"/>
      <c r="L24" s="61"/>
      <c r="M24" s="61"/>
      <c r="N24" s="61"/>
      <c r="O24" s="61"/>
      <c r="P24" s="61"/>
      <c r="Q24" s="61"/>
      <c r="R24" s="61">
        <f>R8</f>
        <v>28915534804.753822</v>
      </c>
      <c r="S24" s="158" t="s">
        <v>867</v>
      </c>
      <c r="T24">
        <v>2036</v>
      </c>
      <c r="U24" s="61">
        <f t="shared" si="2"/>
        <v>589418884140.95605</v>
      </c>
      <c r="V24" s="61">
        <f>AB24/X2</f>
        <v>343827680875.72437</v>
      </c>
      <c r="Y24" s="61"/>
      <c r="Z24" s="61"/>
      <c r="AA24" s="61"/>
      <c r="AB24" s="61">
        <f>AB23*AB3</f>
        <v>99710027453.960068</v>
      </c>
      <c r="AC24" s="61"/>
      <c r="AD24">
        <v>2036</v>
      </c>
      <c r="AQ24">
        <v>2036</v>
      </c>
      <c r="AS24" s="61">
        <f>AS23*AS3</f>
        <v>504857282.95604587</v>
      </c>
    </row>
    <row r="25" spans="1:45" x14ac:dyDescent="0.2">
      <c r="A25">
        <v>2037</v>
      </c>
      <c r="B25" s="61"/>
      <c r="C25" s="61"/>
      <c r="D25" s="61"/>
      <c r="E25" s="61"/>
      <c r="F25" s="61"/>
      <c r="G25" s="61"/>
      <c r="H25" s="61"/>
      <c r="I25" s="61"/>
      <c r="J25" s="61"/>
      <c r="K25" s="61"/>
      <c r="L25" s="61"/>
      <c r="M25" s="61"/>
      <c r="N25" s="61"/>
      <c r="O25" s="61"/>
      <c r="P25" s="61"/>
      <c r="Q25" s="61"/>
      <c r="R25" s="61">
        <f>R8</f>
        <v>28915534804.753822</v>
      </c>
      <c r="S25" s="158" t="s">
        <v>1111</v>
      </c>
      <c r="T25">
        <v>2037</v>
      </c>
      <c r="U25" s="158"/>
      <c r="V25" s="61">
        <f>AB25/X2</f>
        <v>0</v>
      </c>
      <c r="Y25" s="61"/>
      <c r="Z25" s="61"/>
      <c r="AA25" s="61"/>
      <c r="AB25" s="61"/>
      <c r="AC25" s="61"/>
      <c r="AD25">
        <v>2037</v>
      </c>
      <c r="AQ25">
        <v>2037</v>
      </c>
      <c r="AS25" s="61">
        <f>AS24*AS3</f>
        <v>1211657479.0945101</v>
      </c>
    </row>
    <row r="26" spans="1:45" x14ac:dyDescent="0.2">
      <c r="A26">
        <v>2038</v>
      </c>
      <c r="B26" s="61"/>
      <c r="C26" s="61"/>
      <c r="D26" s="61"/>
      <c r="E26" s="61"/>
      <c r="F26" s="61"/>
      <c r="G26" s="61"/>
      <c r="H26" s="61"/>
      <c r="I26" s="61"/>
      <c r="J26" s="61"/>
      <c r="K26" s="61"/>
      <c r="L26" s="61"/>
      <c r="M26" s="61"/>
      <c r="N26" s="61"/>
      <c r="O26" s="61"/>
      <c r="P26" s="61"/>
      <c r="Q26" s="61"/>
      <c r="R26" s="61">
        <f>R8</f>
        <v>28915534804.753822</v>
      </c>
      <c r="S26" s="61"/>
      <c r="T26">
        <v>2038</v>
      </c>
      <c r="U26" s="61"/>
      <c r="Y26" s="61"/>
      <c r="Z26" s="61"/>
      <c r="AA26" s="61"/>
      <c r="AB26" s="61"/>
      <c r="AC26" s="61"/>
      <c r="AD26">
        <v>2038</v>
      </c>
      <c r="AQ26">
        <v>2038</v>
      </c>
      <c r="AS26" s="61">
        <f>AS25*AS3</f>
        <v>2907977949.8268242</v>
      </c>
    </row>
    <row r="27" spans="1:45" x14ac:dyDescent="0.2">
      <c r="A27">
        <v>2039</v>
      </c>
      <c r="B27" s="61"/>
      <c r="C27" s="61"/>
      <c r="D27" s="61"/>
      <c r="E27" s="61"/>
      <c r="F27" s="61"/>
      <c r="G27" s="61"/>
      <c r="H27" s="61"/>
      <c r="I27" s="61"/>
      <c r="J27" s="61"/>
      <c r="K27" s="61"/>
      <c r="L27" s="61"/>
      <c r="M27" s="61"/>
      <c r="N27" s="61"/>
      <c r="O27" s="61"/>
      <c r="P27" s="61"/>
      <c r="Q27" s="61"/>
      <c r="R27" s="61">
        <f>R8</f>
        <v>28915534804.753822</v>
      </c>
      <c r="S27" s="61"/>
      <c r="T27">
        <v>2039</v>
      </c>
      <c r="U27" s="61"/>
      <c r="Y27" s="61"/>
      <c r="Z27" s="61"/>
      <c r="AA27" s="61"/>
      <c r="AB27" s="61"/>
      <c r="AC27" s="61"/>
      <c r="AD27">
        <v>2039</v>
      </c>
      <c r="AQ27">
        <v>2039</v>
      </c>
      <c r="AS27" s="61">
        <f>AS26*AS3</f>
        <v>6979147079.5843782</v>
      </c>
    </row>
    <row r="28" spans="1:45" x14ac:dyDescent="0.2">
      <c r="A28">
        <v>2040</v>
      </c>
      <c r="B28" s="61"/>
      <c r="C28" s="61"/>
      <c r="D28" s="61"/>
      <c r="E28" s="61"/>
      <c r="F28" s="61"/>
      <c r="G28" s="61"/>
      <c r="H28" s="61"/>
      <c r="I28" s="61"/>
      <c r="J28" s="61"/>
      <c r="K28" s="61"/>
      <c r="L28" s="61"/>
      <c r="M28" s="61"/>
      <c r="N28" s="61"/>
      <c r="O28" s="61"/>
      <c r="P28" s="61"/>
      <c r="Q28" s="61"/>
      <c r="R28" s="61">
        <f>R8</f>
        <v>28915534804.753822</v>
      </c>
      <c r="S28" s="61"/>
      <c r="T28">
        <v>2040</v>
      </c>
      <c r="U28" s="61"/>
      <c r="Y28" s="61"/>
      <c r="Z28" s="61"/>
      <c r="AA28" s="61"/>
      <c r="AB28" s="61"/>
      <c r="AC28" s="61"/>
      <c r="AD28">
        <v>2040</v>
      </c>
      <c r="AQ28">
        <v>2040</v>
      </c>
      <c r="AS28" s="61">
        <f>AS27*AS3</f>
        <v>16749952991.002506</v>
      </c>
    </row>
    <row r="29" spans="1:45" x14ac:dyDescent="0.2">
      <c r="A29">
        <v>2040</v>
      </c>
      <c r="B29" s="61"/>
      <c r="C29" s="61"/>
      <c r="D29" s="61"/>
      <c r="E29" s="61"/>
      <c r="F29" s="61"/>
      <c r="G29" s="61"/>
      <c r="H29" s="61"/>
      <c r="I29" s="61"/>
      <c r="J29" s="61"/>
      <c r="K29" s="61"/>
      <c r="L29" s="61"/>
      <c r="M29" s="61"/>
      <c r="N29" s="61"/>
      <c r="O29" s="61"/>
      <c r="P29" s="61"/>
      <c r="Q29" s="61"/>
      <c r="R29" s="61">
        <f>R8</f>
        <v>28915534804.753822</v>
      </c>
      <c r="S29" s="61"/>
      <c r="T29">
        <v>2040</v>
      </c>
      <c r="U29" s="61"/>
      <c r="Y29" s="61"/>
      <c r="Z29" s="61"/>
      <c r="AA29" s="61"/>
      <c r="AB29" s="61"/>
      <c r="AC29" s="61"/>
      <c r="AD29">
        <v>2040</v>
      </c>
      <c r="AQ29">
        <v>2041</v>
      </c>
      <c r="AS29" s="61">
        <f>AS28*AS3</f>
        <v>40199887178.406013</v>
      </c>
    </row>
    <row r="30" spans="1:45" x14ac:dyDescent="0.2">
      <c r="R30" s="61">
        <f>R8</f>
        <v>28915534804.753822</v>
      </c>
      <c r="S30" s="61"/>
      <c r="T30" s="61"/>
      <c r="U30" s="61"/>
      <c r="Y30" s="61"/>
      <c r="Z30" s="61"/>
      <c r="AA30" s="61"/>
    </row>
    <row r="31" spans="1:45" x14ac:dyDescent="0.2">
      <c r="R31" t="s">
        <v>619</v>
      </c>
    </row>
    <row r="32" spans="1:45" x14ac:dyDescent="0.2">
      <c r="R32" t="s">
        <v>618</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8ED47-E668-444F-B99D-359C4C18E9D1}">
  <dimension ref="A1:B28"/>
  <sheetViews>
    <sheetView zoomScale="138" zoomScaleNormal="138" workbookViewId="0">
      <selection activeCell="H19" sqref="H19"/>
    </sheetView>
  </sheetViews>
  <sheetFormatPr baseColWidth="10" defaultRowHeight="16" x14ac:dyDescent="0.2"/>
  <cols>
    <col min="2" max="2" width="23.33203125" customWidth="1"/>
  </cols>
  <sheetData>
    <row r="1" spans="1:2" ht="34" x14ac:dyDescent="0.2">
      <c r="A1" s="162"/>
      <c r="B1" s="163" t="s">
        <v>919</v>
      </c>
    </row>
    <row r="2" spans="1:2" x14ac:dyDescent="0.2">
      <c r="A2" s="162"/>
      <c r="B2" s="164">
        <v>2.4</v>
      </c>
    </row>
    <row r="3" spans="1:2" x14ac:dyDescent="0.2">
      <c r="A3" s="162"/>
      <c r="B3" s="162"/>
    </row>
    <row r="4" spans="1:2" x14ac:dyDescent="0.2">
      <c r="A4" s="162">
        <v>2017</v>
      </c>
      <c r="B4" s="162"/>
    </row>
    <row r="5" spans="1:2" x14ac:dyDescent="0.2">
      <c r="A5" s="162">
        <v>2018</v>
      </c>
      <c r="B5" s="162"/>
    </row>
    <row r="6" spans="1:2" x14ac:dyDescent="0.2">
      <c r="A6" s="162">
        <v>2019</v>
      </c>
      <c r="B6" s="162"/>
    </row>
    <row r="7" spans="1:2" x14ac:dyDescent="0.2">
      <c r="A7" s="162">
        <v>2020</v>
      </c>
      <c r="B7" s="162"/>
    </row>
    <row r="8" spans="1:2" x14ac:dyDescent="0.2">
      <c r="A8" s="162">
        <v>2021</v>
      </c>
      <c r="B8" s="162">
        <v>1000</v>
      </c>
    </row>
    <row r="9" spans="1:2" x14ac:dyDescent="0.2">
      <c r="A9" s="162">
        <v>2022</v>
      </c>
      <c r="B9" s="165">
        <v>2400</v>
      </c>
    </row>
    <row r="10" spans="1:2" x14ac:dyDescent="0.2">
      <c r="A10" s="162">
        <v>2023</v>
      </c>
      <c r="B10" s="165">
        <v>5760</v>
      </c>
    </row>
    <row r="11" spans="1:2" x14ac:dyDescent="0.2">
      <c r="A11" s="162">
        <v>2024</v>
      </c>
      <c r="B11" s="165">
        <v>13824</v>
      </c>
    </row>
    <row r="12" spans="1:2" x14ac:dyDescent="0.2">
      <c r="A12" s="162">
        <v>2025</v>
      </c>
      <c r="B12" s="165">
        <v>33178</v>
      </c>
    </row>
    <row r="13" spans="1:2" x14ac:dyDescent="0.2">
      <c r="A13" s="162">
        <v>2026</v>
      </c>
      <c r="B13" s="165">
        <v>79626</v>
      </c>
    </row>
    <row r="14" spans="1:2" x14ac:dyDescent="0.2">
      <c r="A14" s="162">
        <v>2027</v>
      </c>
      <c r="B14" s="165">
        <v>191103</v>
      </c>
    </row>
    <row r="15" spans="1:2" x14ac:dyDescent="0.2">
      <c r="A15" s="162">
        <v>2028</v>
      </c>
      <c r="B15" s="165">
        <v>458647</v>
      </c>
    </row>
    <row r="16" spans="1:2" x14ac:dyDescent="0.2">
      <c r="A16" s="162">
        <v>2029</v>
      </c>
      <c r="B16" s="165">
        <v>1100753</v>
      </c>
    </row>
    <row r="17" spans="1:2" x14ac:dyDescent="0.2">
      <c r="A17" s="162">
        <v>2030</v>
      </c>
      <c r="B17" s="165">
        <v>2641808</v>
      </c>
    </row>
    <row r="18" spans="1:2" x14ac:dyDescent="0.2">
      <c r="A18" s="162">
        <v>2031</v>
      </c>
      <c r="B18" s="165">
        <v>6340338</v>
      </c>
    </row>
    <row r="19" spans="1:2" x14ac:dyDescent="0.2">
      <c r="A19" s="162">
        <v>2032</v>
      </c>
      <c r="B19" s="165">
        <v>15216811</v>
      </c>
    </row>
    <row r="20" spans="1:2" x14ac:dyDescent="0.2">
      <c r="A20" s="162">
        <v>2033</v>
      </c>
      <c r="B20" s="165">
        <v>36520347</v>
      </c>
    </row>
    <row r="21" spans="1:2" x14ac:dyDescent="0.2">
      <c r="A21" s="162">
        <v>2034</v>
      </c>
      <c r="B21" s="165">
        <v>87648834</v>
      </c>
    </row>
    <row r="22" spans="1:2" x14ac:dyDescent="0.2">
      <c r="A22" s="162">
        <v>2035</v>
      </c>
      <c r="B22" s="165">
        <v>210357201</v>
      </c>
    </row>
    <row r="23" spans="1:2" x14ac:dyDescent="0.2">
      <c r="A23" s="162">
        <v>2036</v>
      </c>
      <c r="B23" s="165">
        <v>504857283</v>
      </c>
    </row>
    <row r="24" spans="1:2" x14ac:dyDescent="0.2">
      <c r="A24" s="162">
        <v>2037</v>
      </c>
      <c r="B24" s="165">
        <v>1211657479</v>
      </c>
    </row>
    <row r="25" spans="1:2" x14ac:dyDescent="0.2">
      <c r="A25" s="162">
        <v>2038</v>
      </c>
      <c r="B25" s="165">
        <v>2907977950</v>
      </c>
    </row>
    <row r="26" spans="1:2" x14ac:dyDescent="0.2">
      <c r="A26" s="162">
        <v>2039</v>
      </c>
      <c r="B26" s="165">
        <v>6979147080</v>
      </c>
    </row>
    <row r="27" spans="1:2" x14ac:dyDescent="0.2">
      <c r="A27" s="162">
        <v>2040</v>
      </c>
      <c r="B27" s="165">
        <v>16749952991</v>
      </c>
    </row>
    <row r="28" spans="1:2" x14ac:dyDescent="0.2">
      <c r="A28" s="162">
        <v>2041</v>
      </c>
      <c r="B28" s="165">
        <v>40199887178</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548E8-809E-684E-A18D-20C4F224EE6F}">
  <dimension ref="A1:E52"/>
  <sheetViews>
    <sheetView zoomScale="190" zoomScaleNormal="190" workbookViewId="0">
      <selection activeCell="E6" sqref="E6"/>
    </sheetView>
  </sheetViews>
  <sheetFormatPr baseColWidth="10" defaultRowHeight="16" x14ac:dyDescent="0.2"/>
  <sheetData>
    <row r="1" spans="1:5" x14ac:dyDescent="0.2">
      <c r="C1" t="s">
        <v>1166</v>
      </c>
    </row>
    <row r="2" spans="1:5" x14ac:dyDescent="0.2">
      <c r="B2" s="153" t="s">
        <v>1167</v>
      </c>
      <c r="C2" s="153" t="s">
        <v>1169</v>
      </c>
    </row>
    <row r="3" spans="1:5" x14ac:dyDescent="0.2">
      <c r="B3" s="153"/>
      <c r="C3" s="153"/>
    </row>
    <row r="4" spans="1:5" x14ac:dyDescent="0.2">
      <c r="B4" s="153"/>
      <c r="C4" s="153" t="s">
        <v>1168</v>
      </c>
    </row>
    <row r="5" spans="1:5" x14ac:dyDescent="0.2">
      <c r="A5">
        <v>2007</v>
      </c>
      <c r="C5">
        <v>664</v>
      </c>
      <c r="E5" s="153" t="s">
        <v>931</v>
      </c>
    </row>
    <row r="6" spans="1:5" x14ac:dyDescent="0.2">
      <c r="A6">
        <v>8</v>
      </c>
      <c r="B6">
        <v>1.0109999999999999</v>
      </c>
      <c r="C6">
        <f>C5*B6</f>
        <v>671.30399999999997</v>
      </c>
      <c r="E6" s="112">
        <f>(C48-C5)/C5</f>
        <v>0.60066220484243904</v>
      </c>
    </row>
    <row r="7" spans="1:5" x14ac:dyDescent="0.2">
      <c r="A7">
        <v>9</v>
      </c>
      <c r="B7">
        <v>1.0109999999999999</v>
      </c>
      <c r="C7">
        <f t="shared" ref="C7:C48" si="0">C6*B7</f>
        <v>678.68834399999992</v>
      </c>
    </row>
    <row r="8" spans="1:5" x14ac:dyDescent="0.2">
      <c r="A8">
        <v>10</v>
      </c>
      <c r="B8">
        <v>1.0109999999999999</v>
      </c>
      <c r="C8">
        <f t="shared" si="0"/>
        <v>686.15391578399988</v>
      </c>
    </row>
    <row r="9" spans="1:5" x14ac:dyDescent="0.2">
      <c r="A9">
        <v>11</v>
      </c>
      <c r="B9">
        <v>1.0109999999999999</v>
      </c>
      <c r="C9">
        <f t="shared" si="0"/>
        <v>693.7016088576238</v>
      </c>
    </row>
    <row r="10" spans="1:5" x14ac:dyDescent="0.2">
      <c r="A10">
        <v>12</v>
      </c>
      <c r="B10">
        <v>1.0109999999999999</v>
      </c>
      <c r="C10">
        <f t="shared" si="0"/>
        <v>701.33232655505753</v>
      </c>
    </row>
    <row r="11" spans="1:5" x14ac:dyDescent="0.2">
      <c r="A11">
        <v>13</v>
      </c>
      <c r="B11">
        <v>1.0109999999999999</v>
      </c>
      <c r="C11">
        <f t="shared" si="0"/>
        <v>709.04698214716313</v>
      </c>
    </row>
    <row r="12" spans="1:5" x14ac:dyDescent="0.2">
      <c r="A12">
        <v>14</v>
      </c>
      <c r="B12">
        <v>1.0109999999999999</v>
      </c>
      <c r="C12">
        <f t="shared" si="0"/>
        <v>716.84649895078189</v>
      </c>
    </row>
    <row r="13" spans="1:5" x14ac:dyDescent="0.2">
      <c r="A13">
        <v>15</v>
      </c>
      <c r="B13">
        <v>1.0109999999999999</v>
      </c>
      <c r="C13">
        <f t="shared" si="0"/>
        <v>724.73181043924046</v>
      </c>
    </row>
    <row r="14" spans="1:5" x14ac:dyDescent="0.2">
      <c r="A14">
        <v>16</v>
      </c>
      <c r="B14">
        <v>1.0109999999999999</v>
      </c>
      <c r="C14">
        <f t="shared" si="0"/>
        <v>732.70386035407205</v>
      </c>
    </row>
    <row r="15" spans="1:5" x14ac:dyDescent="0.2">
      <c r="A15">
        <v>17</v>
      </c>
      <c r="B15">
        <v>1.0109999999999999</v>
      </c>
      <c r="C15">
        <f t="shared" si="0"/>
        <v>740.76360281796678</v>
      </c>
    </row>
    <row r="16" spans="1:5" x14ac:dyDescent="0.2">
      <c r="A16">
        <v>18</v>
      </c>
      <c r="B16">
        <v>1.0109999999999999</v>
      </c>
      <c r="C16">
        <f t="shared" si="0"/>
        <v>748.91200244896436</v>
      </c>
    </row>
    <row r="17" spans="1:3" x14ac:dyDescent="0.2">
      <c r="A17">
        <v>19</v>
      </c>
      <c r="B17">
        <v>1.0109999999999999</v>
      </c>
      <c r="C17">
        <f t="shared" si="0"/>
        <v>757.15003447590288</v>
      </c>
    </row>
    <row r="18" spans="1:3" x14ac:dyDescent="0.2">
      <c r="A18">
        <v>20</v>
      </c>
      <c r="B18">
        <v>1.0109999999999999</v>
      </c>
      <c r="C18">
        <f t="shared" si="0"/>
        <v>765.47868485513777</v>
      </c>
    </row>
    <row r="19" spans="1:3" x14ac:dyDescent="0.2">
      <c r="A19">
        <v>21</v>
      </c>
      <c r="B19">
        <v>1.0109999999999999</v>
      </c>
      <c r="C19">
        <f t="shared" si="0"/>
        <v>773.89895038854422</v>
      </c>
    </row>
    <row r="20" spans="1:3" x14ac:dyDescent="0.2">
      <c r="A20">
        <v>22</v>
      </c>
      <c r="B20">
        <v>1.0109999999999999</v>
      </c>
      <c r="C20">
        <f t="shared" si="0"/>
        <v>782.41183884281816</v>
      </c>
    </row>
    <row r="21" spans="1:3" x14ac:dyDescent="0.2">
      <c r="A21">
        <v>23</v>
      </c>
      <c r="B21">
        <v>1.0109999999999999</v>
      </c>
      <c r="C21">
        <f t="shared" si="0"/>
        <v>791.01836907008908</v>
      </c>
    </row>
    <row r="22" spans="1:3" x14ac:dyDescent="0.2">
      <c r="A22">
        <v>24</v>
      </c>
      <c r="B22">
        <v>1.0109999999999999</v>
      </c>
      <c r="C22">
        <f t="shared" si="0"/>
        <v>799.71957112986001</v>
      </c>
    </row>
    <row r="23" spans="1:3" x14ac:dyDescent="0.2">
      <c r="A23">
        <v>25</v>
      </c>
      <c r="B23">
        <v>1.0109999999999999</v>
      </c>
      <c r="C23">
        <f t="shared" si="0"/>
        <v>808.51648641228837</v>
      </c>
    </row>
    <row r="24" spans="1:3" x14ac:dyDescent="0.2">
      <c r="A24">
        <v>26</v>
      </c>
      <c r="B24">
        <v>1.0109999999999999</v>
      </c>
      <c r="C24">
        <f t="shared" si="0"/>
        <v>817.41016776282345</v>
      </c>
    </row>
    <row r="25" spans="1:3" x14ac:dyDescent="0.2">
      <c r="A25">
        <v>27</v>
      </c>
      <c r="B25">
        <v>1.0109999999999999</v>
      </c>
      <c r="C25">
        <f t="shared" si="0"/>
        <v>826.40167960821441</v>
      </c>
    </row>
    <row r="26" spans="1:3" x14ac:dyDescent="0.2">
      <c r="A26">
        <v>28</v>
      </c>
      <c r="B26">
        <v>1.0109999999999999</v>
      </c>
      <c r="C26">
        <f t="shared" si="0"/>
        <v>835.49209808390469</v>
      </c>
    </row>
    <row r="27" spans="1:3" x14ac:dyDescent="0.2">
      <c r="A27">
        <v>29</v>
      </c>
      <c r="B27">
        <v>1.0109999999999999</v>
      </c>
      <c r="C27">
        <f t="shared" si="0"/>
        <v>844.68251116282761</v>
      </c>
    </row>
    <row r="28" spans="1:3" x14ac:dyDescent="0.2">
      <c r="A28">
        <v>30</v>
      </c>
      <c r="B28">
        <v>1.0109999999999999</v>
      </c>
      <c r="C28">
        <f t="shared" si="0"/>
        <v>853.97401878561868</v>
      </c>
    </row>
    <row r="29" spans="1:3" x14ac:dyDescent="0.2">
      <c r="A29">
        <v>31</v>
      </c>
      <c r="B29">
        <v>1.0109999999999999</v>
      </c>
      <c r="C29">
        <f t="shared" si="0"/>
        <v>863.36773299226036</v>
      </c>
    </row>
    <row r="30" spans="1:3" x14ac:dyDescent="0.2">
      <c r="A30">
        <v>32</v>
      </c>
      <c r="B30">
        <v>1.0109999999999999</v>
      </c>
      <c r="C30">
        <f t="shared" si="0"/>
        <v>872.86477805517518</v>
      </c>
    </row>
    <row r="31" spans="1:3" x14ac:dyDescent="0.2">
      <c r="A31">
        <v>33</v>
      </c>
      <c r="B31">
        <v>1.0109999999999999</v>
      </c>
      <c r="C31">
        <f t="shared" si="0"/>
        <v>882.46629061378201</v>
      </c>
    </row>
    <row r="32" spans="1:3" x14ac:dyDescent="0.2">
      <c r="A32">
        <v>34</v>
      </c>
      <c r="B32">
        <v>1.0109999999999999</v>
      </c>
      <c r="C32">
        <f t="shared" si="0"/>
        <v>892.17341981053357</v>
      </c>
    </row>
    <row r="33" spans="1:3" x14ac:dyDescent="0.2">
      <c r="A33">
        <v>35</v>
      </c>
      <c r="B33">
        <v>1.0109999999999999</v>
      </c>
      <c r="C33">
        <f t="shared" si="0"/>
        <v>901.98732742844936</v>
      </c>
    </row>
    <row r="34" spans="1:3" x14ac:dyDescent="0.2">
      <c r="A34">
        <v>36</v>
      </c>
      <c r="B34">
        <v>1.0109999999999999</v>
      </c>
      <c r="C34">
        <f t="shared" si="0"/>
        <v>911.90918803016223</v>
      </c>
    </row>
    <row r="35" spans="1:3" x14ac:dyDescent="0.2">
      <c r="A35">
        <v>37</v>
      </c>
      <c r="B35">
        <v>1.0109999999999999</v>
      </c>
      <c r="C35">
        <f t="shared" si="0"/>
        <v>921.94018909849387</v>
      </c>
    </row>
    <row r="36" spans="1:3" x14ac:dyDescent="0.2">
      <c r="A36">
        <v>38</v>
      </c>
      <c r="B36">
        <v>1.0109999999999999</v>
      </c>
      <c r="C36">
        <f t="shared" si="0"/>
        <v>932.08153117857717</v>
      </c>
    </row>
    <row r="37" spans="1:3" x14ac:dyDescent="0.2">
      <c r="A37">
        <v>39</v>
      </c>
      <c r="B37">
        <v>1.0109999999999999</v>
      </c>
      <c r="C37">
        <f t="shared" si="0"/>
        <v>942.33442802154138</v>
      </c>
    </row>
    <row r="38" spans="1:3" x14ac:dyDescent="0.2">
      <c r="A38">
        <v>40</v>
      </c>
      <c r="B38">
        <v>1.0109999999999999</v>
      </c>
      <c r="C38">
        <f t="shared" si="0"/>
        <v>952.70010672977821</v>
      </c>
    </row>
    <row r="39" spans="1:3" x14ac:dyDescent="0.2">
      <c r="A39">
        <v>41</v>
      </c>
      <c r="B39">
        <v>1.0109999999999999</v>
      </c>
      <c r="C39">
        <f t="shared" si="0"/>
        <v>963.17980790380568</v>
      </c>
    </row>
    <row r="40" spans="1:3" x14ac:dyDescent="0.2">
      <c r="A40">
        <v>42</v>
      </c>
      <c r="B40">
        <v>1.0109999999999999</v>
      </c>
      <c r="C40">
        <f t="shared" si="0"/>
        <v>973.7747857907475</v>
      </c>
    </row>
    <row r="41" spans="1:3" x14ac:dyDescent="0.2">
      <c r="A41">
        <v>43</v>
      </c>
      <c r="B41">
        <v>1.0109999999999999</v>
      </c>
      <c r="C41">
        <f t="shared" si="0"/>
        <v>984.48630843444562</v>
      </c>
    </row>
    <row r="42" spans="1:3" x14ac:dyDescent="0.2">
      <c r="A42">
        <v>44</v>
      </c>
      <c r="B42">
        <v>1.0109999999999999</v>
      </c>
      <c r="C42">
        <f t="shared" si="0"/>
        <v>995.31565782722441</v>
      </c>
    </row>
    <row r="43" spans="1:3" x14ac:dyDescent="0.2">
      <c r="A43">
        <v>45</v>
      </c>
      <c r="B43">
        <v>1.0109999999999999</v>
      </c>
      <c r="C43">
        <f t="shared" si="0"/>
        <v>1006.2641300633238</v>
      </c>
    </row>
    <row r="44" spans="1:3" x14ac:dyDescent="0.2">
      <c r="A44">
        <v>46</v>
      </c>
      <c r="B44">
        <v>1.0109999999999999</v>
      </c>
      <c r="C44">
        <f t="shared" si="0"/>
        <v>1017.3330354940202</v>
      </c>
    </row>
    <row r="45" spans="1:3" x14ac:dyDescent="0.2">
      <c r="A45">
        <v>47</v>
      </c>
      <c r="B45">
        <v>1.0109999999999999</v>
      </c>
      <c r="C45">
        <f t="shared" si="0"/>
        <v>1028.5236988844545</v>
      </c>
    </row>
    <row r="46" spans="1:3" x14ac:dyDescent="0.2">
      <c r="A46">
        <v>48</v>
      </c>
      <c r="B46">
        <v>1.0109999999999999</v>
      </c>
      <c r="C46">
        <f t="shared" si="0"/>
        <v>1039.8374595721834</v>
      </c>
    </row>
    <row r="47" spans="1:3" x14ac:dyDescent="0.2">
      <c r="A47">
        <v>49</v>
      </c>
      <c r="B47">
        <v>1.0109999999999999</v>
      </c>
      <c r="C47">
        <f t="shared" si="0"/>
        <v>1051.2756716274773</v>
      </c>
    </row>
    <row r="48" spans="1:3" x14ac:dyDescent="0.2">
      <c r="A48">
        <v>50</v>
      </c>
      <c r="B48">
        <v>1.0109999999999999</v>
      </c>
      <c r="C48">
        <f t="shared" si="0"/>
        <v>1062.8397040153795</v>
      </c>
    </row>
    <row r="49" spans="2:2" x14ac:dyDescent="0.2">
      <c r="B49">
        <v>1.0109999999999999</v>
      </c>
    </row>
    <row r="50" spans="2:2" x14ac:dyDescent="0.2">
      <c r="B50">
        <v>1.1000000000000001</v>
      </c>
    </row>
    <row r="51" spans="2:2" x14ac:dyDescent="0.2">
      <c r="B51">
        <v>1.1000000000000001</v>
      </c>
    </row>
    <row r="52" spans="2:2" x14ac:dyDescent="0.2">
      <c r="B52">
        <v>1.1000000000000001</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645FB-6B15-B84A-85A1-C27E621FDE31}">
  <dimension ref="A1"/>
  <sheetViews>
    <sheetView workbookViewId="0"/>
  </sheetViews>
  <sheetFormatPr baseColWidth="10" defaultRowHeight="16" x14ac:dyDescent="0.2"/>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21B49-DFFF-9842-A5A1-13469DC487B7}">
  <dimension ref="A1:U5"/>
  <sheetViews>
    <sheetView zoomScale="304" zoomScaleNormal="304" workbookViewId="0">
      <selection activeCell="N2" sqref="N2"/>
    </sheetView>
  </sheetViews>
  <sheetFormatPr baseColWidth="10" defaultRowHeight="16" x14ac:dyDescent="0.2"/>
  <cols>
    <col min="7" max="7" width="0.6640625" customWidth="1"/>
    <col min="8" max="9" width="9.1640625" customWidth="1"/>
    <col min="10" max="11" width="9.5" customWidth="1"/>
    <col min="13" max="13" width="0.5" customWidth="1"/>
    <col min="14" max="15" width="11" customWidth="1"/>
  </cols>
  <sheetData>
    <row r="1" spans="1:21" ht="68" x14ac:dyDescent="0.2">
      <c r="B1" s="151" t="s">
        <v>1118</v>
      </c>
      <c r="C1" s="153"/>
      <c r="D1" s="151" t="s">
        <v>1119</v>
      </c>
      <c r="E1" s="153"/>
      <c r="F1" s="153" t="s">
        <v>1113</v>
      </c>
      <c r="H1" s="151" t="s">
        <v>1115</v>
      </c>
      <c r="I1" s="151" t="s">
        <v>1116</v>
      </c>
      <c r="J1" s="151" t="s">
        <v>1114</v>
      </c>
      <c r="K1" s="151" t="s">
        <v>1117</v>
      </c>
      <c r="L1" s="153" t="s">
        <v>485</v>
      </c>
      <c r="N1" s="151" t="s">
        <v>1122</v>
      </c>
      <c r="O1" s="151" t="s">
        <v>1129</v>
      </c>
      <c r="P1" s="151" t="s">
        <v>1120</v>
      </c>
    </row>
    <row r="2" spans="1:21" x14ac:dyDescent="0.2">
      <c r="N2" s="160">
        <v>44473</v>
      </c>
      <c r="P2" s="132"/>
      <c r="S2" s="159" t="s">
        <v>1127</v>
      </c>
      <c r="T2" s="159" t="s">
        <v>1127</v>
      </c>
      <c r="U2" s="159" t="s">
        <v>1127</v>
      </c>
    </row>
    <row r="3" spans="1:21" ht="51" x14ac:dyDescent="0.2">
      <c r="P3" s="151" t="s">
        <v>1121</v>
      </c>
      <c r="Q3" s="151" t="s">
        <v>1123</v>
      </c>
      <c r="R3" s="153" t="s">
        <v>1124</v>
      </c>
      <c r="S3" s="153" t="s">
        <v>1125</v>
      </c>
      <c r="T3" s="153" t="s">
        <v>1126</v>
      </c>
      <c r="U3" s="153" t="s">
        <v>1128</v>
      </c>
    </row>
    <row r="5" spans="1:21" x14ac:dyDescent="0.2">
      <c r="A5" s="153" t="s">
        <v>1112</v>
      </c>
      <c r="B5">
        <v>1159</v>
      </c>
      <c r="C5" s="112">
        <f>B5/F5</f>
        <v>0.91838351822503961</v>
      </c>
      <c r="D5">
        <v>103</v>
      </c>
      <c r="E5" s="112">
        <f>D5/F5</f>
        <v>8.1616481774960378E-2</v>
      </c>
      <c r="F5">
        <f>B5+D5</f>
        <v>1262</v>
      </c>
      <c r="H5" s="61">
        <v>704012</v>
      </c>
      <c r="I5" s="112">
        <f>H5/L5</f>
        <v>0.8449587189491965</v>
      </c>
      <c r="J5" s="61">
        <v>129179</v>
      </c>
      <c r="K5" s="112">
        <f>J5/L5</f>
        <v>0.15504128105080348</v>
      </c>
      <c r="L5" s="61">
        <v>833191</v>
      </c>
      <c r="N5">
        <v>7476</v>
      </c>
      <c r="O5">
        <f>N5/F5</f>
        <v>5.9239302694136295</v>
      </c>
      <c r="P5" s="153">
        <f>B5*6</f>
        <v>6954</v>
      </c>
      <c r="Q5">
        <f>N5-P5</f>
        <v>522</v>
      </c>
      <c r="R5">
        <f>Q5/D5</f>
        <v>5.0679611650485441</v>
      </c>
      <c r="S5">
        <v>1</v>
      </c>
      <c r="T5">
        <f>S5*D5</f>
        <v>103</v>
      </c>
      <c r="U5" s="62">
        <f>T5/N5</f>
        <v>1.3777421080791868E-2</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1C741-7567-E643-9D8C-74CD7AF792CE}">
  <dimension ref="A1:P62"/>
  <sheetViews>
    <sheetView topLeftCell="G1" zoomScale="259" zoomScaleNormal="259" workbookViewId="0">
      <selection activeCell="N4" sqref="N4:O4"/>
    </sheetView>
  </sheetViews>
  <sheetFormatPr baseColWidth="10" defaultRowHeight="16" x14ac:dyDescent="0.2"/>
  <cols>
    <col min="15" max="15" width="13.5" customWidth="1"/>
  </cols>
  <sheetData>
    <row r="1" spans="1:16" ht="34" x14ac:dyDescent="0.2">
      <c r="B1" s="153" t="s">
        <v>891</v>
      </c>
      <c r="C1" s="153" t="s">
        <v>856</v>
      </c>
      <c r="D1" s="153" t="s">
        <v>1075</v>
      </c>
      <c r="E1" s="153" t="s">
        <v>1070</v>
      </c>
      <c r="F1" s="153" t="s">
        <v>1071</v>
      </c>
      <c r="G1" s="153" t="s">
        <v>1072</v>
      </c>
      <c r="H1" s="153" t="s">
        <v>1074</v>
      </c>
      <c r="I1" s="153" t="s">
        <v>1073</v>
      </c>
      <c r="K1" s="151" t="s">
        <v>1078</v>
      </c>
      <c r="L1" s="61">
        <v>5018000</v>
      </c>
    </row>
    <row r="2" spans="1:16" ht="34" x14ac:dyDescent="0.2">
      <c r="A2">
        <v>2021</v>
      </c>
      <c r="B2" s="61"/>
      <c r="C2" s="61">
        <v>900000</v>
      </c>
      <c r="D2" s="61"/>
      <c r="E2" s="61">
        <v>7400</v>
      </c>
      <c r="F2" s="61"/>
      <c r="G2" s="61">
        <v>3</v>
      </c>
      <c r="H2" s="61">
        <f>E2/G2</f>
        <v>2466.6666666666665</v>
      </c>
      <c r="I2" s="61"/>
      <c r="K2" s="151" t="s">
        <v>1079</v>
      </c>
      <c r="L2" s="61">
        <v>5312000</v>
      </c>
      <c r="N2" s="153" t="s">
        <v>1083</v>
      </c>
    </row>
    <row r="3" spans="1:16" ht="102" x14ac:dyDescent="0.2">
      <c r="B3" s="61"/>
      <c r="C3" s="61"/>
      <c r="D3" s="61"/>
      <c r="E3" s="61"/>
      <c r="F3" s="61"/>
      <c r="G3" s="61"/>
      <c r="H3" s="61"/>
      <c r="I3" s="61"/>
      <c r="M3" s="153" t="s">
        <v>1080</v>
      </c>
      <c r="O3" s="151" t="s">
        <v>1081</v>
      </c>
      <c r="P3" s="153" t="s">
        <v>1082</v>
      </c>
    </row>
    <row r="4" spans="1:16" x14ac:dyDescent="0.2">
      <c r="A4">
        <v>2022</v>
      </c>
      <c r="B4" s="61">
        <v>3000000</v>
      </c>
      <c r="C4" s="61">
        <f>C2+(E4*52)</f>
        <v>1323280</v>
      </c>
      <c r="D4" s="112">
        <f>(B4-C2)/C2</f>
        <v>2.3333333333333335</v>
      </c>
      <c r="E4" s="61">
        <f>E2*1.1</f>
        <v>8140.0000000000009</v>
      </c>
      <c r="F4" s="61">
        <f>B4-C4</f>
        <v>1676720</v>
      </c>
      <c r="G4" s="61"/>
      <c r="H4" s="61"/>
      <c r="I4" s="61">
        <f>F4/(3*26)</f>
        <v>21496.410256410258</v>
      </c>
      <c r="K4" s="153" t="s">
        <v>329</v>
      </c>
      <c r="L4" s="61">
        <f>L1+L2</f>
        <v>10330000</v>
      </c>
      <c r="M4" s="62">
        <v>0.126</v>
      </c>
      <c r="N4" s="61">
        <f>L4*0.126</f>
        <v>1301580</v>
      </c>
      <c r="O4" s="61">
        <f>N4*0.3</f>
        <v>390474</v>
      </c>
    </row>
    <row r="5" spans="1:16" x14ac:dyDescent="0.2">
      <c r="B5" s="61"/>
      <c r="C5" s="61"/>
      <c r="D5" s="61"/>
      <c r="E5" s="61"/>
      <c r="F5" s="61"/>
      <c r="G5" s="61"/>
      <c r="H5" s="61"/>
      <c r="I5" s="61"/>
    </row>
    <row r="6" spans="1:16" x14ac:dyDescent="0.2">
      <c r="B6" s="61"/>
      <c r="C6" s="61"/>
      <c r="D6" s="61"/>
      <c r="E6" s="61"/>
      <c r="F6" s="61"/>
      <c r="G6" s="61"/>
      <c r="H6" s="61"/>
      <c r="I6" s="61"/>
    </row>
    <row r="7" spans="1:16" x14ac:dyDescent="0.2">
      <c r="B7" s="140">
        <v>1.0249999999999999</v>
      </c>
      <c r="C7" s="61"/>
      <c r="D7" s="61"/>
      <c r="E7" s="61"/>
      <c r="F7" s="61"/>
      <c r="G7" s="61"/>
      <c r="H7" s="61"/>
      <c r="I7" s="61"/>
    </row>
    <row r="8" spans="1:16" x14ac:dyDescent="0.2">
      <c r="B8" s="61"/>
      <c r="C8" s="61"/>
      <c r="D8" s="61"/>
      <c r="E8" s="61"/>
      <c r="F8" s="61"/>
      <c r="G8" s="61"/>
      <c r="H8" s="61"/>
      <c r="I8" s="61"/>
    </row>
    <row r="9" spans="1:16" x14ac:dyDescent="0.2">
      <c r="A9" s="153" t="s">
        <v>1076</v>
      </c>
      <c r="B9" s="154" t="s">
        <v>1077</v>
      </c>
      <c r="C9" s="61"/>
      <c r="D9" s="61"/>
      <c r="E9" s="61"/>
      <c r="F9" s="61"/>
      <c r="G9" s="61"/>
      <c r="H9" s="61"/>
      <c r="I9" s="61"/>
    </row>
    <row r="10" spans="1:16" x14ac:dyDescent="0.2">
      <c r="A10">
        <v>1</v>
      </c>
      <c r="B10" s="140">
        <v>1.0249999999999999</v>
      </c>
      <c r="C10" s="61"/>
      <c r="D10" s="61"/>
      <c r="E10" s="61"/>
      <c r="F10" s="61"/>
      <c r="G10" s="61"/>
      <c r="H10" s="61"/>
      <c r="I10" s="61"/>
    </row>
    <row r="11" spans="1:16" x14ac:dyDescent="0.2">
      <c r="A11">
        <f t="shared" ref="A11:A42" si="0">A10*B11</f>
        <v>1.0249999999999999</v>
      </c>
      <c r="B11" s="140">
        <v>1.0249999999999999</v>
      </c>
      <c r="C11" s="61"/>
      <c r="D11" s="61"/>
      <c r="E11" s="61"/>
      <c r="F11" s="61"/>
      <c r="G11" s="61"/>
      <c r="H11" s="61"/>
      <c r="I11" s="61"/>
    </row>
    <row r="12" spans="1:16" x14ac:dyDescent="0.2">
      <c r="A12">
        <f t="shared" si="0"/>
        <v>1.0506249999999999</v>
      </c>
      <c r="B12" s="140">
        <v>1.0249999999999999</v>
      </c>
      <c r="C12" s="61"/>
      <c r="D12" s="61"/>
      <c r="E12" s="61"/>
      <c r="F12" s="61"/>
      <c r="G12" s="61"/>
      <c r="H12" s="61"/>
      <c r="I12" s="61"/>
    </row>
    <row r="13" spans="1:16" x14ac:dyDescent="0.2">
      <c r="A13">
        <f t="shared" si="0"/>
        <v>1.0768906249999999</v>
      </c>
      <c r="B13" s="140">
        <v>1.0249999999999999</v>
      </c>
      <c r="C13" s="61"/>
      <c r="D13" s="61"/>
      <c r="E13" s="61"/>
      <c r="F13" s="61"/>
      <c r="G13" s="61"/>
      <c r="H13" s="61"/>
      <c r="I13" s="61"/>
    </row>
    <row r="14" spans="1:16" x14ac:dyDescent="0.2">
      <c r="A14">
        <f t="shared" si="0"/>
        <v>1.1038128906249998</v>
      </c>
      <c r="B14" s="140">
        <v>1.0249999999999999</v>
      </c>
      <c r="C14" s="61"/>
      <c r="D14" s="61"/>
      <c r="E14" s="61"/>
      <c r="F14" s="61"/>
      <c r="G14" s="61"/>
      <c r="H14" s="61"/>
      <c r="I14" s="61"/>
    </row>
    <row r="15" spans="1:16" x14ac:dyDescent="0.2">
      <c r="A15">
        <f t="shared" si="0"/>
        <v>1.1314082128906247</v>
      </c>
      <c r="B15" s="140">
        <v>1.0249999999999999</v>
      </c>
      <c r="C15" s="61"/>
      <c r="D15" s="61"/>
      <c r="E15" s="61"/>
      <c r="F15" s="61"/>
      <c r="G15" s="61"/>
      <c r="H15" s="61"/>
      <c r="I15" s="61"/>
    </row>
    <row r="16" spans="1:16" x14ac:dyDescent="0.2">
      <c r="A16">
        <f t="shared" si="0"/>
        <v>1.1596934182128902</v>
      </c>
      <c r="B16" s="140">
        <v>1.0249999999999999</v>
      </c>
    </row>
    <row r="17" spans="1:2" x14ac:dyDescent="0.2">
      <c r="A17">
        <f t="shared" si="0"/>
        <v>1.1886857536682123</v>
      </c>
      <c r="B17" s="140">
        <v>1.0249999999999999</v>
      </c>
    </row>
    <row r="18" spans="1:2" x14ac:dyDescent="0.2">
      <c r="A18">
        <f t="shared" si="0"/>
        <v>1.2184028975099175</v>
      </c>
      <c r="B18" s="140">
        <v>1.0249999999999999</v>
      </c>
    </row>
    <row r="19" spans="1:2" x14ac:dyDescent="0.2">
      <c r="A19">
        <f t="shared" si="0"/>
        <v>1.2488629699476652</v>
      </c>
      <c r="B19" s="140">
        <v>1.0249999999999999</v>
      </c>
    </row>
    <row r="20" spans="1:2" x14ac:dyDescent="0.2">
      <c r="A20">
        <f t="shared" si="0"/>
        <v>1.2800845441963566</v>
      </c>
      <c r="B20" s="140">
        <v>1.0249999999999999</v>
      </c>
    </row>
    <row r="21" spans="1:2" x14ac:dyDescent="0.2">
      <c r="A21">
        <f t="shared" si="0"/>
        <v>1.3120866578012655</v>
      </c>
      <c r="B21" s="140">
        <v>1.0249999999999999</v>
      </c>
    </row>
    <row r="22" spans="1:2" x14ac:dyDescent="0.2">
      <c r="A22">
        <f t="shared" si="0"/>
        <v>1.3448888242462971</v>
      </c>
      <c r="B22" s="140">
        <v>1.0249999999999999</v>
      </c>
    </row>
    <row r="23" spans="1:2" x14ac:dyDescent="0.2">
      <c r="A23">
        <f t="shared" si="0"/>
        <v>1.3785110448524545</v>
      </c>
      <c r="B23" s="140">
        <v>1.0249999999999999</v>
      </c>
    </row>
    <row r="24" spans="1:2" x14ac:dyDescent="0.2">
      <c r="A24">
        <f t="shared" si="0"/>
        <v>1.4129738209737657</v>
      </c>
      <c r="B24" s="140">
        <v>1.0249999999999999</v>
      </c>
    </row>
    <row r="25" spans="1:2" x14ac:dyDescent="0.2">
      <c r="A25">
        <f t="shared" si="0"/>
        <v>1.4482981664981096</v>
      </c>
      <c r="B25" s="140">
        <v>1.0249999999999999</v>
      </c>
    </row>
    <row r="26" spans="1:2" x14ac:dyDescent="0.2">
      <c r="A26">
        <f t="shared" si="0"/>
        <v>1.4845056206605622</v>
      </c>
      <c r="B26" s="140">
        <v>1.0249999999999999</v>
      </c>
    </row>
    <row r="27" spans="1:2" x14ac:dyDescent="0.2">
      <c r="A27">
        <f t="shared" si="0"/>
        <v>1.5216182611770761</v>
      </c>
      <c r="B27" s="140">
        <v>1.0249999999999999</v>
      </c>
    </row>
    <row r="28" spans="1:2" x14ac:dyDescent="0.2">
      <c r="A28">
        <f t="shared" si="0"/>
        <v>1.5596587177065029</v>
      </c>
      <c r="B28" s="140">
        <v>1.0249999999999999</v>
      </c>
    </row>
    <row r="29" spans="1:2" x14ac:dyDescent="0.2">
      <c r="A29">
        <f t="shared" si="0"/>
        <v>1.5986501856491653</v>
      </c>
      <c r="B29" s="140">
        <v>1.0249999999999999</v>
      </c>
    </row>
    <row r="30" spans="1:2" x14ac:dyDescent="0.2">
      <c r="A30">
        <f t="shared" si="0"/>
        <v>1.6386164402903942</v>
      </c>
      <c r="B30" s="140">
        <v>1.0249999999999999</v>
      </c>
    </row>
    <row r="31" spans="1:2" x14ac:dyDescent="0.2">
      <c r="A31">
        <f t="shared" si="0"/>
        <v>1.6795818512976539</v>
      </c>
      <c r="B31" s="140">
        <v>1.0249999999999999</v>
      </c>
    </row>
    <row r="32" spans="1:2" x14ac:dyDescent="0.2">
      <c r="A32">
        <f t="shared" si="0"/>
        <v>1.721571397580095</v>
      </c>
      <c r="B32" s="140">
        <v>1.0249999999999999</v>
      </c>
    </row>
    <row r="33" spans="1:2" x14ac:dyDescent="0.2">
      <c r="A33">
        <f t="shared" si="0"/>
        <v>1.7646106825195973</v>
      </c>
      <c r="B33" s="140">
        <v>1.0249999999999999</v>
      </c>
    </row>
    <row r="34" spans="1:2" x14ac:dyDescent="0.2">
      <c r="A34">
        <f t="shared" si="0"/>
        <v>1.8087259495825871</v>
      </c>
      <c r="B34" s="140">
        <v>1.0249999999999999</v>
      </c>
    </row>
    <row r="35" spans="1:2" x14ac:dyDescent="0.2">
      <c r="A35">
        <f t="shared" si="0"/>
        <v>1.8539440983221516</v>
      </c>
      <c r="B35" s="140">
        <v>1.0249999999999999</v>
      </c>
    </row>
    <row r="36" spans="1:2" x14ac:dyDescent="0.2">
      <c r="A36">
        <f t="shared" si="0"/>
        <v>1.9002927007802053</v>
      </c>
      <c r="B36" s="140">
        <v>1.0249999999999999</v>
      </c>
    </row>
    <row r="37" spans="1:2" x14ac:dyDescent="0.2">
      <c r="A37">
        <f t="shared" si="0"/>
        <v>1.9478000182997102</v>
      </c>
      <c r="B37" s="140">
        <v>1.0249999999999999</v>
      </c>
    </row>
    <row r="38" spans="1:2" x14ac:dyDescent="0.2">
      <c r="A38">
        <f t="shared" si="0"/>
        <v>1.9964950187572028</v>
      </c>
      <c r="B38" s="140">
        <v>1.0249999999999999</v>
      </c>
    </row>
    <row r="39" spans="1:2" x14ac:dyDescent="0.2">
      <c r="A39">
        <f t="shared" si="0"/>
        <v>2.0464073942261325</v>
      </c>
      <c r="B39" s="140">
        <v>1.0249999999999999</v>
      </c>
    </row>
    <row r="40" spans="1:2" x14ac:dyDescent="0.2">
      <c r="A40">
        <f t="shared" si="0"/>
        <v>2.0975675790817858</v>
      </c>
      <c r="B40" s="140">
        <v>1.0249999999999999</v>
      </c>
    </row>
    <row r="41" spans="1:2" x14ac:dyDescent="0.2">
      <c r="A41">
        <f t="shared" si="0"/>
        <v>2.1500067685588302</v>
      </c>
      <c r="B41" s="140">
        <v>1.0249999999999999</v>
      </c>
    </row>
    <row r="42" spans="1:2" x14ac:dyDescent="0.2">
      <c r="A42">
        <f t="shared" si="0"/>
        <v>2.2037569377728006</v>
      </c>
      <c r="B42" s="140">
        <v>1.0249999999999999</v>
      </c>
    </row>
    <row r="43" spans="1:2" x14ac:dyDescent="0.2">
      <c r="A43">
        <f t="shared" ref="A43:A62" si="1">A42*B43</f>
        <v>2.2588508612171205</v>
      </c>
      <c r="B43" s="140">
        <v>1.0249999999999999</v>
      </c>
    </row>
    <row r="44" spans="1:2" x14ac:dyDescent="0.2">
      <c r="A44">
        <f t="shared" si="1"/>
        <v>2.3153221327475482</v>
      </c>
      <c r="B44" s="140">
        <v>1.0249999999999999</v>
      </c>
    </row>
    <row r="45" spans="1:2" x14ac:dyDescent="0.2">
      <c r="A45">
        <f t="shared" si="1"/>
        <v>2.3732051860662366</v>
      </c>
      <c r="B45" s="140">
        <v>1.0249999999999999</v>
      </c>
    </row>
    <row r="46" spans="1:2" x14ac:dyDescent="0.2">
      <c r="A46">
        <f t="shared" si="1"/>
        <v>2.4325353157178924</v>
      </c>
      <c r="B46" s="140">
        <v>1.0249999999999999</v>
      </c>
    </row>
    <row r="47" spans="1:2" x14ac:dyDescent="0.2">
      <c r="A47">
        <f t="shared" si="1"/>
        <v>2.4933486986108395</v>
      </c>
      <c r="B47" s="140">
        <v>1.0249999999999999</v>
      </c>
    </row>
    <row r="48" spans="1:2" x14ac:dyDescent="0.2">
      <c r="A48">
        <f t="shared" si="1"/>
        <v>2.5556824160761105</v>
      </c>
      <c r="B48" s="140">
        <v>1.0249999999999999</v>
      </c>
    </row>
    <row r="49" spans="1:2" x14ac:dyDescent="0.2">
      <c r="A49">
        <f t="shared" si="1"/>
        <v>2.6195744764780131</v>
      </c>
      <c r="B49" s="140">
        <v>1.0249999999999999</v>
      </c>
    </row>
    <row r="50" spans="1:2" x14ac:dyDescent="0.2">
      <c r="A50">
        <f t="shared" si="1"/>
        <v>2.6850638383899632</v>
      </c>
      <c r="B50" s="140">
        <v>1.0249999999999999</v>
      </c>
    </row>
    <row r="51" spans="1:2" x14ac:dyDescent="0.2">
      <c r="A51">
        <f t="shared" si="1"/>
        <v>2.7521904343497119</v>
      </c>
      <c r="B51" s="140">
        <v>1.0249999999999999</v>
      </c>
    </row>
    <row r="52" spans="1:2" x14ac:dyDescent="0.2">
      <c r="A52">
        <f t="shared" si="1"/>
        <v>2.8209951952084547</v>
      </c>
      <c r="B52" s="140">
        <v>1.0249999999999999</v>
      </c>
    </row>
    <row r="53" spans="1:2" x14ac:dyDescent="0.2">
      <c r="A53">
        <f t="shared" si="1"/>
        <v>2.8915200750886658</v>
      </c>
      <c r="B53" s="140">
        <v>1.0249999999999999</v>
      </c>
    </row>
    <row r="54" spans="1:2" x14ac:dyDescent="0.2">
      <c r="A54">
        <f t="shared" si="1"/>
        <v>2.9638080769658823</v>
      </c>
      <c r="B54" s="140">
        <v>1.0249999999999999</v>
      </c>
    </row>
    <row r="55" spans="1:2" x14ac:dyDescent="0.2">
      <c r="A55">
        <f t="shared" si="1"/>
        <v>3.0379032788900293</v>
      </c>
      <c r="B55" s="140">
        <v>1.0249999999999999</v>
      </c>
    </row>
    <row r="56" spans="1:2" x14ac:dyDescent="0.2">
      <c r="A56">
        <f t="shared" si="1"/>
        <v>3.1138508608622799</v>
      </c>
      <c r="B56" s="140">
        <v>1.0249999999999999</v>
      </c>
    </row>
    <row r="57" spans="1:2" x14ac:dyDescent="0.2">
      <c r="A57">
        <f t="shared" si="1"/>
        <v>3.1916971323838368</v>
      </c>
      <c r="B57" s="140">
        <v>1.0249999999999999</v>
      </c>
    </row>
    <row r="58" spans="1:2" x14ac:dyDescent="0.2">
      <c r="A58">
        <f t="shared" si="1"/>
        <v>3.2714895606934324</v>
      </c>
      <c r="B58" s="140">
        <v>1.0249999999999999</v>
      </c>
    </row>
    <row r="59" spans="1:2" x14ac:dyDescent="0.2">
      <c r="A59">
        <f t="shared" si="1"/>
        <v>3.353276799710768</v>
      </c>
      <c r="B59" s="140">
        <v>1.0249999999999999</v>
      </c>
    </row>
    <row r="60" spans="1:2" x14ac:dyDescent="0.2">
      <c r="A60">
        <f t="shared" si="1"/>
        <v>3.437108719703537</v>
      </c>
      <c r="B60" s="140">
        <v>1.0249999999999999</v>
      </c>
    </row>
    <row r="61" spans="1:2" x14ac:dyDescent="0.2">
      <c r="A61">
        <f t="shared" si="1"/>
        <v>3.523036437696125</v>
      </c>
      <c r="B61" s="140">
        <v>1.0249999999999999</v>
      </c>
    </row>
    <row r="62" spans="1:2" x14ac:dyDescent="0.2">
      <c r="A62">
        <f t="shared" si="1"/>
        <v>3.6287275308270086</v>
      </c>
      <c r="B62" s="140">
        <v>1.03</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5"/>
  <sheetViews>
    <sheetView workbookViewId="0">
      <selection activeCell="E4" sqref="E4"/>
    </sheetView>
  </sheetViews>
  <sheetFormatPr baseColWidth="10" defaultRowHeight="16" x14ac:dyDescent="0.2"/>
  <cols>
    <col min="13" max="13" width="12.1640625" bestFit="1" customWidth="1"/>
  </cols>
  <sheetData>
    <row r="1" spans="1:13" x14ac:dyDescent="0.2">
      <c r="A1" t="s">
        <v>991</v>
      </c>
    </row>
    <row r="3" spans="1:13" x14ac:dyDescent="0.2">
      <c r="A3" t="s">
        <v>992</v>
      </c>
      <c r="B3" t="s">
        <v>993</v>
      </c>
      <c r="C3" t="s">
        <v>994</v>
      </c>
      <c r="E3" t="s">
        <v>999</v>
      </c>
      <c r="G3" t="s">
        <v>995</v>
      </c>
      <c r="I3" t="s">
        <v>998</v>
      </c>
      <c r="M3" t="s">
        <v>996</v>
      </c>
    </row>
    <row r="5" spans="1:13" x14ac:dyDescent="0.2">
      <c r="A5">
        <v>3.3</v>
      </c>
      <c r="B5">
        <f>A5*1000</f>
        <v>3300</v>
      </c>
      <c r="C5">
        <f>B5*1000</f>
        <v>3300000</v>
      </c>
      <c r="E5">
        <v>1</v>
      </c>
      <c r="G5">
        <f>OECD!C12*1000</f>
        <v>235.7</v>
      </c>
      <c r="I5">
        <f>C5/G5</f>
        <v>14000.848536274927</v>
      </c>
      <c r="M5">
        <f>G5/C5</f>
        <v>7.1424242424242423E-5</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W31"/>
  <sheetViews>
    <sheetView topLeftCell="C1" zoomScale="150" zoomScaleNormal="150" zoomScalePageLayoutView="150" workbookViewId="0">
      <selection activeCell="R28" sqref="R28"/>
    </sheetView>
  </sheetViews>
  <sheetFormatPr baseColWidth="10" defaultRowHeight="16" x14ac:dyDescent="0.2"/>
  <cols>
    <col min="1" max="1" width="26.5" customWidth="1"/>
    <col min="2" max="2" width="14.6640625" bestFit="1" customWidth="1"/>
    <col min="3" max="3" width="11.33203125" customWidth="1"/>
    <col min="5" max="5" width="16.33203125" customWidth="1"/>
  </cols>
  <sheetData>
    <row r="1" spans="1:9" x14ac:dyDescent="0.2">
      <c r="A1" s="54"/>
      <c r="B1" s="54" t="s">
        <v>1027</v>
      </c>
      <c r="C1" s="157" t="s">
        <v>1100</v>
      </c>
      <c r="D1" s="54" t="s">
        <v>1028</v>
      </c>
      <c r="E1" s="54"/>
      <c r="H1" s="153" t="s">
        <v>1109</v>
      </c>
      <c r="I1" s="153" t="s">
        <v>1110</v>
      </c>
    </row>
    <row r="2" spans="1:9" x14ac:dyDescent="0.2">
      <c r="A2" s="54" t="s">
        <v>1029</v>
      </c>
      <c r="B2" s="145">
        <v>100</v>
      </c>
      <c r="C2" s="55"/>
      <c r="D2" s="55">
        <v>500</v>
      </c>
      <c r="E2" s="145">
        <v>40000</v>
      </c>
      <c r="H2" s="69">
        <f>D16</f>
        <v>2635</v>
      </c>
      <c r="I2" s="69">
        <f>D16*5</f>
        <v>13175</v>
      </c>
    </row>
    <row r="3" spans="1:9" x14ac:dyDescent="0.2">
      <c r="A3" s="54" t="s">
        <v>1030</v>
      </c>
      <c r="B3" s="145">
        <v>100</v>
      </c>
      <c r="C3" s="55">
        <v>35</v>
      </c>
      <c r="D3" s="55">
        <v>1750</v>
      </c>
      <c r="E3" s="145">
        <f>B3*D3</f>
        <v>175000</v>
      </c>
    </row>
    <row r="4" spans="1:9" x14ac:dyDescent="0.2">
      <c r="A4" s="54" t="s">
        <v>1031</v>
      </c>
      <c r="B4" s="145">
        <v>100</v>
      </c>
      <c r="C4" s="55"/>
      <c r="D4" s="55">
        <v>100</v>
      </c>
      <c r="E4" s="145">
        <f t="shared" ref="E4:E14" si="0">B4*D4</f>
        <v>10000</v>
      </c>
    </row>
    <row r="5" spans="1:9" x14ac:dyDescent="0.2">
      <c r="A5" s="54" t="s">
        <v>1032</v>
      </c>
      <c r="B5" s="145">
        <v>400</v>
      </c>
      <c r="C5" s="55"/>
      <c r="D5" s="55">
        <v>10</v>
      </c>
      <c r="E5" s="145">
        <f t="shared" si="0"/>
        <v>4000</v>
      </c>
    </row>
    <row r="6" spans="1:9" x14ac:dyDescent="0.2">
      <c r="A6" s="54" t="s">
        <v>1033</v>
      </c>
      <c r="B6" s="145">
        <v>400</v>
      </c>
      <c r="C6" s="55"/>
      <c r="D6" s="55">
        <v>10</v>
      </c>
      <c r="E6" s="145">
        <f t="shared" si="0"/>
        <v>4000</v>
      </c>
    </row>
    <row r="7" spans="1:9" x14ac:dyDescent="0.2">
      <c r="A7" s="54" t="s">
        <v>1034</v>
      </c>
      <c r="B7" s="145">
        <v>400</v>
      </c>
      <c r="C7" s="55"/>
      <c r="D7" s="55">
        <v>10</v>
      </c>
      <c r="E7" s="145">
        <f t="shared" si="0"/>
        <v>4000</v>
      </c>
    </row>
    <row r="8" spans="1:9" x14ac:dyDescent="0.2">
      <c r="A8" s="54" t="s">
        <v>1035</v>
      </c>
      <c r="B8" s="145">
        <v>400</v>
      </c>
      <c r="C8" s="55"/>
      <c r="D8" s="55">
        <v>40</v>
      </c>
      <c r="E8" s="145">
        <f t="shared" si="0"/>
        <v>16000</v>
      </c>
    </row>
    <row r="9" spans="1:9" x14ac:dyDescent="0.2">
      <c r="A9" s="54" t="s">
        <v>1036</v>
      </c>
      <c r="B9" s="145">
        <v>100</v>
      </c>
      <c r="C9" s="55"/>
      <c r="D9" s="55">
        <v>20</v>
      </c>
      <c r="E9" s="145">
        <f t="shared" si="0"/>
        <v>2000</v>
      </c>
    </row>
    <row r="10" spans="1:9" x14ac:dyDescent="0.2">
      <c r="A10" s="54" t="s">
        <v>1037</v>
      </c>
      <c r="B10" s="145">
        <v>1000</v>
      </c>
      <c r="C10" s="55"/>
      <c r="D10" s="55">
        <v>75</v>
      </c>
      <c r="E10" s="145">
        <f t="shared" si="0"/>
        <v>75000</v>
      </c>
    </row>
    <row r="11" spans="1:9" x14ac:dyDescent="0.2">
      <c r="A11" s="21" t="s">
        <v>1108</v>
      </c>
      <c r="B11" s="145"/>
      <c r="C11" s="55">
        <v>1</v>
      </c>
      <c r="D11" s="55">
        <f>C11*48</f>
        <v>48</v>
      </c>
      <c r="E11" s="145"/>
    </row>
    <row r="12" spans="1:9" x14ac:dyDescent="0.2">
      <c r="A12" s="54" t="s">
        <v>1038</v>
      </c>
      <c r="B12" s="145">
        <v>400</v>
      </c>
      <c r="C12" s="55"/>
      <c r="D12" s="55">
        <v>12</v>
      </c>
      <c r="E12" s="145">
        <f t="shared" si="0"/>
        <v>4800</v>
      </c>
    </row>
    <row r="13" spans="1:9" x14ac:dyDescent="0.2">
      <c r="A13" s="54" t="s">
        <v>1039</v>
      </c>
      <c r="B13" s="145">
        <v>200</v>
      </c>
      <c r="C13" s="55"/>
      <c r="D13" s="55">
        <v>20</v>
      </c>
      <c r="E13" s="145">
        <f t="shared" si="0"/>
        <v>4000</v>
      </c>
    </row>
    <row r="14" spans="1:9" x14ac:dyDescent="0.2">
      <c r="A14" s="54" t="s">
        <v>1040</v>
      </c>
      <c r="B14" s="145">
        <v>400</v>
      </c>
      <c r="C14" s="55"/>
      <c r="D14" s="55">
        <v>40</v>
      </c>
      <c r="E14" s="145">
        <f t="shared" si="0"/>
        <v>16000</v>
      </c>
    </row>
    <row r="15" spans="1:9" x14ac:dyDescent="0.2">
      <c r="A15" s="54"/>
      <c r="B15" s="54"/>
      <c r="C15" s="54"/>
      <c r="D15" s="54"/>
      <c r="E15" s="54"/>
      <c r="G15" t="s">
        <v>1045</v>
      </c>
    </row>
    <row r="16" spans="1:9" x14ac:dyDescent="0.2">
      <c r="A16" s="54"/>
      <c r="B16" s="54"/>
      <c r="C16" s="54"/>
      <c r="D16" s="146">
        <f>SUM(D2:D14)</f>
        <v>2635</v>
      </c>
      <c r="E16" s="145">
        <f>SUM(E2:E14)</f>
        <v>354800</v>
      </c>
      <c r="G16" t="s">
        <v>1023</v>
      </c>
    </row>
    <row r="17" spans="1:23" x14ac:dyDescent="0.2">
      <c r="F17" t="s">
        <v>1051</v>
      </c>
      <c r="G17" t="s">
        <v>1046</v>
      </c>
    </row>
    <row r="18" spans="1:23" x14ac:dyDescent="0.2">
      <c r="A18" t="s">
        <v>485</v>
      </c>
      <c r="B18" s="61">
        <f>B19/0.29</f>
        <v>304386.20689655177</v>
      </c>
      <c r="C18" s="61"/>
      <c r="F18">
        <v>7</v>
      </c>
      <c r="G18" t="s">
        <v>1048</v>
      </c>
    </row>
    <row r="19" spans="1:23" x14ac:dyDescent="0.2">
      <c r="A19" t="s">
        <v>914</v>
      </c>
      <c r="B19" s="61">
        <v>88272</v>
      </c>
      <c r="C19" s="61"/>
      <c r="G19" t="s">
        <v>1049</v>
      </c>
    </row>
    <row r="20" spans="1:23" x14ac:dyDescent="0.2">
      <c r="A20" t="s">
        <v>1042</v>
      </c>
      <c r="B20" s="61">
        <v>53000</v>
      </c>
      <c r="C20" s="61"/>
      <c r="G20" t="s">
        <v>1050</v>
      </c>
    </row>
    <row r="21" spans="1:23" x14ac:dyDescent="0.2">
      <c r="A21" s="153" t="s">
        <v>1106</v>
      </c>
      <c r="B21" s="61">
        <f>B19/D16</f>
        <v>33.499810246679317</v>
      </c>
      <c r="C21" s="61"/>
      <c r="G21" t="s">
        <v>1052</v>
      </c>
    </row>
    <row r="22" spans="1:23" x14ac:dyDescent="0.2">
      <c r="A22" s="153" t="s">
        <v>1107</v>
      </c>
      <c r="B22" s="61">
        <f>B21*10</f>
        <v>334.99810246679317</v>
      </c>
      <c r="C22" s="61"/>
    </row>
    <row r="23" spans="1:23" x14ac:dyDescent="0.2">
      <c r="A23" s="153"/>
      <c r="B23" s="61"/>
      <c r="C23" s="61"/>
    </row>
    <row r="24" spans="1:23" x14ac:dyDescent="0.2">
      <c r="D24" t="s">
        <v>258</v>
      </c>
      <c r="E24" t="s">
        <v>1047</v>
      </c>
      <c r="F24" t="s">
        <v>1044</v>
      </c>
      <c r="G24" t="s">
        <v>40</v>
      </c>
      <c r="H24" t="s">
        <v>1054</v>
      </c>
      <c r="I24" t="s">
        <v>1063</v>
      </c>
      <c r="J24" t="s">
        <v>1055</v>
      </c>
      <c r="K24" t="s">
        <v>1056</v>
      </c>
      <c r="L24" t="s">
        <v>1057</v>
      </c>
      <c r="M24" s="153" t="s">
        <v>1102</v>
      </c>
      <c r="N24" t="s">
        <v>1061</v>
      </c>
      <c r="O24" t="s">
        <v>1057</v>
      </c>
      <c r="P24" s="153" t="s">
        <v>1101</v>
      </c>
      <c r="Q24" t="s">
        <v>1062</v>
      </c>
      <c r="R24" s="153" t="s">
        <v>1103</v>
      </c>
      <c r="S24" t="s">
        <v>1058</v>
      </c>
      <c r="T24" s="153" t="s">
        <v>1104</v>
      </c>
      <c r="U24" t="s">
        <v>1059</v>
      </c>
      <c r="V24" t="s">
        <v>1060</v>
      </c>
      <c r="W24" s="153" t="s">
        <v>1105</v>
      </c>
    </row>
    <row r="25" spans="1:23" x14ac:dyDescent="0.2">
      <c r="A25" t="s">
        <v>1041</v>
      </c>
      <c r="B25">
        <f>B19*'Summary sheet'!C19</f>
        <v>433359.04768569866</v>
      </c>
      <c r="D25">
        <f>B25/10000</f>
        <v>43.335904768569868</v>
      </c>
      <c r="E25">
        <f>B20/D25/F18</f>
        <v>174.71490700062373</v>
      </c>
      <c r="L25">
        <f>D25/D16</f>
        <v>1.6446263669286476E-2</v>
      </c>
      <c r="M25">
        <f>L25*10*10000/'Summary sheet'!AO7</f>
        <v>8.4069454944056705</v>
      </c>
    </row>
    <row r="26" spans="1:23" x14ac:dyDescent="0.2">
      <c r="A26" t="s">
        <v>1043</v>
      </c>
      <c r="F26" s="69">
        <f>B19*'Summary sheet'!C37</f>
        <v>760808.01459990279</v>
      </c>
      <c r="I26" s="147">
        <f>F26/B20</f>
        <v>14.354868199998165</v>
      </c>
      <c r="N26" s="148">
        <f>F26/D16</f>
        <v>288.73169434531417</v>
      </c>
    </row>
    <row r="27" spans="1:23" x14ac:dyDescent="0.2">
      <c r="A27" t="s">
        <v>1048</v>
      </c>
      <c r="B27">
        <f>B19*'Summary sheet'!C35</f>
        <v>1033162.5742027398</v>
      </c>
      <c r="D27">
        <f>B27/10000</f>
        <v>103.31625742027397</v>
      </c>
      <c r="E27">
        <f>B20/D27/F18</f>
        <v>73.283999638403614</v>
      </c>
      <c r="O27">
        <f>D27/D16</f>
        <v>3.9209205852096383E-2</v>
      </c>
      <c r="P27">
        <f>O27*10*10000/'Summary sheet'!AO6</f>
        <v>0.54914854134588775</v>
      </c>
    </row>
    <row r="28" spans="1:23" x14ac:dyDescent="0.2">
      <c r="A28" t="s">
        <v>1049</v>
      </c>
      <c r="B28" s="139">
        <f>B19*'Summary sheet'!C33</f>
        <v>75946218.724799976</v>
      </c>
      <c r="C28" s="139"/>
      <c r="G28">
        <f>B28/1000</f>
        <v>75946.218724799983</v>
      </c>
      <c r="H28">
        <f>B20/G28/7</f>
        <v>9.9694608876638474E-2</v>
      </c>
      <c r="Q28">
        <f>G28/D16</f>
        <v>28.822094392713467</v>
      </c>
      <c r="R28" s="61">
        <f>Q28*1000*10</f>
        <v>288220.94392713468</v>
      </c>
    </row>
    <row r="29" spans="1:23" x14ac:dyDescent="0.2">
      <c r="A29" t="s">
        <v>1053</v>
      </c>
      <c r="B29" s="61">
        <f>B19*'Summary sheet'!C24</f>
        <v>28549146.323448341</v>
      </c>
      <c r="C29" s="61"/>
      <c r="G29" s="61">
        <f>B29/1000</f>
        <v>28549.146323448342</v>
      </c>
      <c r="H29">
        <f>B20/G29/7</f>
        <v>0.26520682915166227</v>
      </c>
      <c r="S29">
        <f>G29/D16</f>
        <v>10.83459063508476</v>
      </c>
      <c r="T29">
        <f>S29*10</f>
        <v>108.3459063508476</v>
      </c>
    </row>
    <row r="30" spans="1:23" x14ac:dyDescent="0.2">
      <c r="A30" t="s">
        <v>1052</v>
      </c>
      <c r="B30">
        <f>B19*'Summary sheet'!C10</f>
        <v>3245.9270581882806</v>
      </c>
      <c r="J30">
        <f>B20/B30/7</f>
        <v>2.332593565936314</v>
      </c>
      <c r="U30">
        <f>B30/D16</f>
        <v>1.231850875972782</v>
      </c>
    </row>
    <row r="31" spans="1:23" x14ac:dyDescent="0.2">
      <c r="A31" t="s">
        <v>1023</v>
      </c>
      <c r="B31">
        <f>B19*'Summary sheet'!C16</f>
        <v>5725.2596250266306</v>
      </c>
      <c r="K31">
        <f>B20/B31/7</f>
        <v>1.3224603017707435</v>
      </c>
      <c r="V31">
        <f>B31/D16</f>
        <v>2.1727740512435032</v>
      </c>
      <c r="W31">
        <f>V31*10</f>
        <v>21.727740512435034</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B6D51-2D08-8644-9834-2F13F00E67B4}">
  <dimension ref="A1:F11"/>
  <sheetViews>
    <sheetView zoomScale="400" zoomScaleNormal="400" workbookViewId="0">
      <selection activeCell="F1" sqref="F1"/>
    </sheetView>
  </sheetViews>
  <sheetFormatPr baseColWidth="10" defaultRowHeight="16" x14ac:dyDescent="0.2"/>
  <cols>
    <col min="1" max="1" width="17.83203125" customWidth="1"/>
    <col min="4" max="4" width="12.1640625" bestFit="1" customWidth="1"/>
  </cols>
  <sheetData>
    <row r="1" spans="1:6" x14ac:dyDescent="0.2">
      <c r="A1" s="153" t="s">
        <v>1140</v>
      </c>
      <c r="D1" s="153" t="s">
        <v>1146</v>
      </c>
      <c r="E1" s="153" t="s">
        <v>858</v>
      </c>
      <c r="F1" t="s">
        <v>1141</v>
      </c>
    </row>
    <row r="2" spans="1:6" ht="34" x14ac:dyDescent="0.2">
      <c r="C2" s="151" t="s">
        <v>1145</v>
      </c>
      <c r="D2">
        <f>(2.5+6.5)/2</f>
        <v>4.5</v>
      </c>
      <c r="E2" s="153" t="s">
        <v>6</v>
      </c>
    </row>
    <row r="3" spans="1:6" x14ac:dyDescent="0.2">
      <c r="C3" s="153"/>
      <c r="E3" s="153"/>
    </row>
    <row r="4" spans="1:6" x14ac:dyDescent="0.2">
      <c r="A4" s="153" t="s">
        <v>1142</v>
      </c>
      <c r="C4" s="153" t="s">
        <v>858</v>
      </c>
      <c r="D4" t="s">
        <v>1151</v>
      </c>
    </row>
    <row r="5" spans="1:6" x14ac:dyDescent="0.2">
      <c r="A5" s="153" t="s">
        <v>1143</v>
      </c>
      <c r="B5">
        <v>0.98</v>
      </c>
    </row>
    <row r="6" spans="1:6" x14ac:dyDescent="0.2">
      <c r="A6" s="153" t="s">
        <v>1144</v>
      </c>
      <c r="B6">
        <v>0.9</v>
      </c>
    </row>
    <row r="7" spans="1:6" x14ac:dyDescent="0.2">
      <c r="A7" s="153" t="s">
        <v>365</v>
      </c>
      <c r="B7">
        <v>0.86</v>
      </c>
    </row>
    <row r="8" spans="1:6" x14ac:dyDescent="0.2">
      <c r="A8" s="153"/>
    </row>
    <row r="9" spans="1:6" s="132" customFormat="1" ht="34" x14ac:dyDescent="0.2">
      <c r="B9" s="151" t="s">
        <v>1148</v>
      </c>
      <c r="C9" s="151" t="s">
        <v>1149</v>
      </c>
      <c r="D9" s="151" t="s">
        <v>1150</v>
      </c>
    </row>
    <row r="10" spans="1:6" ht="48" customHeight="1" x14ac:dyDescent="0.2">
      <c r="A10" s="151" t="s">
        <v>1147</v>
      </c>
      <c r="B10">
        <f>D2*365</f>
        <v>1642.5</v>
      </c>
      <c r="C10" s="62">
        <v>0.14000000000000001</v>
      </c>
      <c r="D10" s="155">
        <f>C10/B10</f>
        <v>8.5235920852359215E-5</v>
      </c>
    </row>
    <row r="11" spans="1:6" x14ac:dyDescent="0.2">
      <c r="A11" s="153" t="s">
        <v>1152</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23"/>
  <sheetViews>
    <sheetView zoomScale="200" zoomScaleNormal="200" zoomScalePageLayoutView="200" workbookViewId="0">
      <selection activeCell="A20" sqref="A20"/>
    </sheetView>
  </sheetViews>
  <sheetFormatPr baseColWidth="10" defaultRowHeight="16" x14ac:dyDescent="0.2"/>
  <cols>
    <col min="1" max="1" width="15.33203125" customWidth="1"/>
    <col min="3" max="3" width="11.5" bestFit="1" customWidth="1"/>
    <col min="4" max="4" width="13.83203125" bestFit="1" customWidth="1"/>
    <col min="5" max="6" width="12.1640625" customWidth="1"/>
    <col min="7" max="7" width="11.33203125" bestFit="1" customWidth="1"/>
  </cols>
  <sheetData>
    <row r="1" spans="1:7" x14ac:dyDescent="0.2">
      <c r="A1" s="54" t="s">
        <v>1002</v>
      </c>
    </row>
    <row r="2" spans="1:7" x14ac:dyDescent="0.2">
      <c r="A2" s="54"/>
    </row>
    <row r="3" spans="1:7" x14ac:dyDescent="0.2">
      <c r="A3" s="54" t="s">
        <v>1003</v>
      </c>
    </row>
    <row r="4" spans="1:7" x14ac:dyDescent="0.2">
      <c r="A4" s="54" t="s">
        <v>426</v>
      </c>
    </row>
    <row r="5" spans="1:7" x14ac:dyDescent="0.2">
      <c r="A5" s="54" t="s">
        <v>175</v>
      </c>
    </row>
    <row r="6" spans="1:7" x14ac:dyDescent="0.2">
      <c r="A6" s="54"/>
      <c r="D6" t="s">
        <v>1017</v>
      </c>
    </row>
    <row r="7" spans="1:7" ht="51" x14ac:dyDescent="0.2">
      <c r="A7" s="54" t="s">
        <v>280</v>
      </c>
      <c r="B7" s="132" t="s">
        <v>1007</v>
      </c>
      <c r="C7" t="s">
        <v>1005</v>
      </c>
      <c r="D7" t="s">
        <v>1006</v>
      </c>
      <c r="G7" s="132" t="s">
        <v>1016</v>
      </c>
    </row>
    <row r="8" spans="1:7" x14ac:dyDescent="0.2">
      <c r="A8" s="54" t="s">
        <v>1004</v>
      </c>
    </row>
    <row r="9" spans="1:7" x14ac:dyDescent="0.2">
      <c r="A9" s="54" t="s">
        <v>58</v>
      </c>
      <c r="C9" t="s">
        <v>257</v>
      </c>
      <c r="D9" t="s">
        <v>58</v>
      </c>
      <c r="E9" t="s">
        <v>61</v>
      </c>
      <c r="F9" t="s">
        <v>302</v>
      </c>
      <c r="G9" t="s">
        <v>302</v>
      </c>
    </row>
    <row r="10" spans="1:7" x14ac:dyDescent="0.2">
      <c r="A10" s="54"/>
    </row>
    <row r="11" spans="1:7" x14ac:dyDescent="0.2">
      <c r="A11" s="143">
        <v>4.6939900000000003</v>
      </c>
      <c r="B11" s="61">
        <f>'Summary sheet'!B66</f>
        <v>68123545</v>
      </c>
      <c r="C11" s="61">
        <f>A11*B11</f>
        <v>319771238.99455005</v>
      </c>
      <c r="D11">
        <f>C11*365.33/7</f>
        <v>16688860963.125566</v>
      </c>
      <c r="E11" s="61">
        <f>D11/10000</f>
        <v>1668886.0963125566</v>
      </c>
      <c r="F11" s="61">
        <f>E11/100</f>
        <v>16688.860963125568</v>
      </c>
      <c r="G11" s="61">
        <f>'Summary sheet'!AM72</f>
        <v>12494</v>
      </c>
    </row>
    <row r="12" spans="1:7" x14ac:dyDescent="0.2">
      <c r="A12" s="54"/>
    </row>
    <row r="13" spans="1:7" x14ac:dyDescent="0.2">
      <c r="A13" s="54"/>
      <c r="D13" t="s">
        <v>1017</v>
      </c>
    </row>
    <row r="14" spans="1:7" ht="34" x14ac:dyDescent="0.2">
      <c r="A14" s="54" t="s">
        <v>175</v>
      </c>
      <c r="B14" s="132" t="s">
        <v>1007</v>
      </c>
      <c r="C14" t="s">
        <v>1005</v>
      </c>
      <c r="D14" t="s">
        <v>1006</v>
      </c>
      <c r="G14" t="s">
        <v>1018</v>
      </c>
    </row>
    <row r="15" spans="1:7" x14ac:dyDescent="0.2">
      <c r="A15" s="54" t="s">
        <v>58</v>
      </c>
    </row>
    <row r="16" spans="1:7" x14ac:dyDescent="0.2">
      <c r="A16" s="54"/>
      <c r="C16" t="s">
        <v>58</v>
      </c>
      <c r="D16" t="s">
        <v>58</v>
      </c>
    </row>
    <row r="17" spans="1:7" x14ac:dyDescent="0.2">
      <c r="A17" s="54">
        <v>11.70431</v>
      </c>
      <c r="B17" s="61">
        <f>B11</f>
        <v>68123545</v>
      </c>
      <c r="C17">
        <f>A17*B17</f>
        <v>797339088.97895002</v>
      </c>
      <c r="D17">
        <f>C17*365.33/7</f>
        <v>41613127053.811401</v>
      </c>
      <c r="E17" s="61">
        <f>D17/10000</f>
        <v>4161312.7053811401</v>
      </c>
      <c r="F17" s="61">
        <f>E17/100</f>
        <v>41613.127053811404</v>
      </c>
      <c r="G17" s="61">
        <f>'Summary sheet'!AM60</f>
        <v>20735</v>
      </c>
    </row>
    <row r="18" spans="1:7" x14ac:dyDescent="0.2">
      <c r="A18" s="54"/>
    </row>
    <row r="19" spans="1:7" x14ac:dyDescent="0.2">
      <c r="A19" s="54"/>
      <c r="D19" t="s">
        <v>1017</v>
      </c>
    </row>
    <row r="20" spans="1:7" ht="34" x14ac:dyDescent="0.2">
      <c r="A20" s="54" t="s">
        <v>426</v>
      </c>
      <c r="B20" s="132" t="s">
        <v>1007</v>
      </c>
      <c r="C20" t="s">
        <v>1008</v>
      </c>
      <c r="D20" t="s">
        <v>1009</v>
      </c>
      <c r="G20" t="s">
        <v>1019</v>
      </c>
    </row>
    <row r="21" spans="1:7" ht="51" x14ac:dyDescent="0.2">
      <c r="A21" s="54" t="s">
        <v>60</v>
      </c>
      <c r="F21" s="132" t="s">
        <v>1020</v>
      </c>
    </row>
    <row r="22" spans="1:7" x14ac:dyDescent="0.2">
      <c r="A22" s="54"/>
      <c r="G22" t="s">
        <v>60</v>
      </c>
    </row>
    <row r="23" spans="1:7" x14ac:dyDescent="0.2">
      <c r="A23" s="54">
        <v>5.6413599999999997</v>
      </c>
      <c r="B23" s="61">
        <f>B17</f>
        <v>68123545</v>
      </c>
      <c r="C23" s="61">
        <f>A23*B23</f>
        <v>384309441.82119995</v>
      </c>
      <c r="D23" s="61">
        <f>C23*365.33/7</f>
        <v>20057109768.648426</v>
      </c>
      <c r="F23">
        <f>D23/G23</f>
        <v>134.07158936262317</v>
      </c>
      <c r="G23" s="61">
        <f>'Summary sheet'!AQ32</f>
        <v>149600000</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57480-AEC1-2247-A629-DC498086D7D2}">
  <dimension ref="A1:I6"/>
  <sheetViews>
    <sheetView zoomScale="258" zoomScaleNormal="258" workbookViewId="0">
      <selection activeCell="D7" sqref="D7"/>
    </sheetView>
  </sheetViews>
  <sheetFormatPr baseColWidth="10" defaultRowHeight="16" x14ac:dyDescent="0.2"/>
  <sheetData>
    <row r="1" spans="1:9" x14ac:dyDescent="0.2">
      <c r="A1" s="153" t="s">
        <v>1137</v>
      </c>
      <c r="B1" s="153" t="s">
        <v>1133</v>
      </c>
      <c r="C1" s="153" t="s">
        <v>1134</v>
      </c>
      <c r="D1" s="153" t="s">
        <v>1135</v>
      </c>
      <c r="E1" s="153" t="s">
        <v>1136</v>
      </c>
      <c r="F1" s="153" t="s">
        <v>1138</v>
      </c>
      <c r="G1" s="153" t="s">
        <v>1134</v>
      </c>
      <c r="I1" s="153"/>
    </row>
    <row r="2" spans="1:9" x14ac:dyDescent="0.2">
      <c r="A2" s="153"/>
      <c r="B2" s="153"/>
      <c r="C2" s="153"/>
      <c r="D2" s="153"/>
      <c r="E2" s="153"/>
      <c r="F2" s="153" t="s">
        <v>1139</v>
      </c>
      <c r="G2" s="153" t="s">
        <v>1139</v>
      </c>
    </row>
    <row r="3" spans="1:9" x14ac:dyDescent="0.2">
      <c r="A3">
        <v>2018</v>
      </c>
      <c r="B3" s="61">
        <v>37829</v>
      </c>
      <c r="C3" s="61">
        <v>87094</v>
      </c>
      <c r="D3" s="61">
        <f>C3-B3</f>
        <v>49265</v>
      </c>
      <c r="E3" s="61">
        <f>D3/52</f>
        <v>947.40384615384619</v>
      </c>
    </row>
    <row r="4" spans="1:9" x14ac:dyDescent="0.2">
      <c r="A4">
        <v>2019</v>
      </c>
      <c r="B4" s="61">
        <f>C3</f>
        <v>87094</v>
      </c>
      <c r="C4" s="61">
        <f>B4+D4</f>
        <v>205330</v>
      </c>
      <c r="D4" s="61">
        <f>D3*2.4</f>
        <v>118236</v>
      </c>
      <c r="E4" s="61">
        <f>(D4/52)</f>
        <v>2273.7692307692309</v>
      </c>
      <c r="F4">
        <v>947</v>
      </c>
      <c r="G4" s="61">
        <f>E4+(E4-F4)</f>
        <v>3600.5384615384619</v>
      </c>
    </row>
    <row r="5" spans="1:9" x14ac:dyDescent="0.2">
      <c r="A5">
        <v>2020</v>
      </c>
      <c r="B5" s="61">
        <f>C4</f>
        <v>205330</v>
      </c>
      <c r="C5" s="61">
        <f>B5+D5</f>
        <v>489096.39999999997</v>
      </c>
      <c r="D5" s="61">
        <f>D4*2.4</f>
        <v>283766.39999999997</v>
      </c>
      <c r="E5" s="61">
        <f>D5/52</f>
        <v>5457.0461538461532</v>
      </c>
      <c r="F5" s="61">
        <f>G4</f>
        <v>3600.5384615384619</v>
      </c>
      <c r="G5" s="61">
        <f>E5+(E5-F5)</f>
        <v>7313.5538461538445</v>
      </c>
    </row>
    <row r="6" spans="1:9" x14ac:dyDescent="0.2">
      <c r="A6">
        <v>2021</v>
      </c>
      <c r="B6" s="61">
        <f>C5</f>
        <v>489096.39999999997</v>
      </c>
      <c r="C6" s="61">
        <f>B6+D6</f>
        <v>1170135.7599999998</v>
      </c>
      <c r="D6" s="61">
        <f>D5*2.4</f>
        <v>681039.35999999987</v>
      </c>
      <c r="E6" s="61">
        <f>D6/52</f>
        <v>13096.910769230766</v>
      </c>
      <c r="F6" s="61">
        <f>G5</f>
        <v>7313.5538461538445</v>
      </c>
      <c r="G6" s="61">
        <f>E6+(E6-F6)</f>
        <v>18880.267692307687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148D1-A93D-6747-8CAC-E1A6424A3DFC}">
  <dimension ref="A1:E7"/>
  <sheetViews>
    <sheetView zoomScale="391" zoomScaleNormal="391" workbookViewId="0">
      <selection activeCell="C4" sqref="C4"/>
    </sheetView>
  </sheetViews>
  <sheetFormatPr baseColWidth="10" defaultRowHeight="16" x14ac:dyDescent="0.2"/>
  <sheetData>
    <row r="1" spans="1:5" x14ac:dyDescent="0.2">
      <c r="A1" s="153" t="s">
        <v>1089</v>
      </c>
    </row>
    <row r="2" spans="1:5" x14ac:dyDescent="0.2">
      <c r="A2" s="153"/>
    </row>
    <row r="3" spans="1:5" x14ac:dyDescent="0.2">
      <c r="A3" s="153" t="s">
        <v>1086</v>
      </c>
      <c r="B3" s="153" t="s">
        <v>996</v>
      </c>
      <c r="C3" s="153" t="s">
        <v>209</v>
      </c>
    </row>
    <row r="5" spans="1:5" x14ac:dyDescent="0.2">
      <c r="A5" s="62">
        <v>0.46</v>
      </c>
      <c r="B5" s="155">
        <f>A5/OECD!B26/365</f>
        <v>1.5892483891585624E-5</v>
      </c>
      <c r="C5" s="62">
        <f>B5*365</f>
        <v>5.8007566204287524E-3</v>
      </c>
    </row>
    <row r="7" spans="1:5" x14ac:dyDescent="0.2">
      <c r="D7" s="62"/>
      <c r="E7" s="6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000"/>
  <sheetViews>
    <sheetView topLeftCell="A2" zoomScale="150" zoomScaleNormal="150" zoomScalePageLayoutView="150" workbookViewId="0">
      <selection activeCell="D19" sqref="D19"/>
    </sheetView>
  </sheetViews>
  <sheetFormatPr baseColWidth="10" defaultColWidth="11.1640625" defaultRowHeight="15" customHeight="1" x14ac:dyDescent="0.2"/>
  <cols>
    <col min="1" max="2" width="19" customWidth="1"/>
    <col min="3" max="26" width="10.5" customWidth="1"/>
  </cols>
  <sheetData>
    <row r="1" spans="1:4" ht="16" x14ac:dyDescent="0.2">
      <c r="A1" t="s">
        <v>0</v>
      </c>
    </row>
    <row r="2" spans="1:4" ht="16" x14ac:dyDescent="0.2">
      <c r="C2" t="s">
        <v>1</v>
      </c>
      <c r="D2" t="s">
        <v>2</v>
      </c>
    </row>
    <row r="3" spans="1:4" ht="16" x14ac:dyDescent="0.2">
      <c r="C3">
        <v>2050</v>
      </c>
      <c r="D3" t="s">
        <v>3</v>
      </c>
    </row>
    <row r="4" spans="1:4" ht="16" x14ac:dyDescent="0.2">
      <c r="C4" t="s">
        <v>4</v>
      </c>
    </row>
    <row r="7" spans="1:4" ht="16" x14ac:dyDescent="0.2">
      <c r="A7" t="s">
        <v>5</v>
      </c>
      <c r="B7">
        <f t="shared" ref="B7:D7" si="0">SUM(B9:B12)</f>
        <v>1058</v>
      </c>
      <c r="C7">
        <f t="shared" si="0"/>
        <v>1112</v>
      </c>
      <c r="D7">
        <f t="shared" si="0"/>
        <v>201</v>
      </c>
    </row>
    <row r="9" spans="1:4" ht="16" x14ac:dyDescent="0.2">
      <c r="A9" t="s">
        <v>3</v>
      </c>
      <c r="B9">
        <v>115</v>
      </c>
      <c r="C9">
        <v>125</v>
      </c>
      <c r="D9">
        <v>18</v>
      </c>
    </row>
    <row r="10" spans="1:4" ht="16" x14ac:dyDescent="0.2">
      <c r="A10" t="s">
        <v>22</v>
      </c>
      <c r="B10">
        <v>466</v>
      </c>
      <c r="C10">
        <v>490</v>
      </c>
      <c r="D10">
        <v>71</v>
      </c>
    </row>
    <row r="11" spans="1:4" ht="16" x14ac:dyDescent="0.2">
      <c r="A11" t="s">
        <v>23</v>
      </c>
      <c r="B11">
        <v>427</v>
      </c>
      <c r="C11">
        <v>450</v>
      </c>
      <c r="D11">
        <v>65</v>
      </c>
    </row>
    <row r="12" spans="1:4" ht="16" x14ac:dyDescent="0.2">
      <c r="A12" t="s">
        <v>26</v>
      </c>
      <c r="B12">
        <v>50</v>
      </c>
      <c r="C12">
        <v>47</v>
      </c>
      <c r="D12">
        <v>47</v>
      </c>
    </row>
    <row r="14" spans="1:4" ht="16" x14ac:dyDescent="0.2">
      <c r="A14" t="s">
        <v>31</v>
      </c>
      <c r="C14" s="3">
        <v>23.16</v>
      </c>
      <c r="D14" s="3">
        <v>17.93</v>
      </c>
    </row>
    <row r="15" spans="1:4" ht="16" x14ac:dyDescent="0.2">
      <c r="A15" t="s">
        <v>48</v>
      </c>
      <c r="D15" s="3">
        <f>C14-D14</f>
        <v>5.23</v>
      </c>
    </row>
    <row r="16" spans="1:4" ht="16" x14ac:dyDescent="0.2">
      <c r="A16" t="s">
        <v>64</v>
      </c>
      <c r="D16" s="3">
        <f>D15/7</f>
        <v>0.74714285714285722</v>
      </c>
    </row>
    <row r="18" spans="1:256" ht="16" x14ac:dyDescent="0.2">
      <c r="C18" t="s">
        <v>65</v>
      </c>
      <c r="D18" s="8">
        <f>D16*D20</f>
        <v>0.95634285714285727</v>
      </c>
    </row>
    <row r="20" spans="1:256" ht="16" x14ac:dyDescent="0.2">
      <c r="C20" t="s">
        <v>66</v>
      </c>
      <c r="D20" s="3">
        <v>1.28</v>
      </c>
    </row>
    <row r="21" spans="1:256" ht="15.75" customHeight="1" x14ac:dyDescent="0.2"/>
    <row r="22" spans="1:256" ht="15.75" customHeight="1" x14ac:dyDescent="0.2"/>
    <row r="23" spans="1:256" ht="15.75" customHeight="1" x14ac:dyDescent="0.2"/>
    <row r="24" spans="1:256" ht="15.75" customHeight="1" x14ac:dyDescent="0.2"/>
    <row r="25" spans="1:256" ht="15.75" customHeight="1" x14ac:dyDescent="0.2"/>
    <row r="26" spans="1:256" s="67" customFormat="1" ht="20" customHeight="1" x14ac:dyDescent="0.25">
      <c r="A26" s="72" t="s">
        <v>530</v>
      </c>
      <c r="B26" s="73"/>
      <c r="C26" s="74" t="s">
        <v>476</v>
      </c>
      <c r="D26" s="75" t="s">
        <v>65</v>
      </c>
      <c r="E26" s="73"/>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c r="IH26" s="76"/>
      <c r="II26" s="76"/>
      <c r="IJ26" s="76"/>
      <c r="IK26" s="76"/>
      <c r="IL26" s="76"/>
      <c r="IM26" s="76"/>
      <c r="IN26" s="76"/>
      <c r="IO26" s="76"/>
      <c r="IP26" s="76"/>
      <c r="IQ26" s="76"/>
      <c r="IR26" s="76"/>
      <c r="IS26" s="76"/>
      <c r="IT26" s="76"/>
      <c r="IU26" s="76"/>
      <c r="IV26" s="76"/>
    </row>
    <row r="27" spans="1:256" s="67" customFormat="1" ht="17" customHeight="1" x14ac:dyDescent="0.2">
      <c r="A27" s="74" t="s">
        <v>531</v>
      </c>
      <c r="B27" s="73"/>
      <c r="C27" s="77">
        <v>2002</v>
      </c>
      <c r="D27" s="75"/>
      <c r="E27" s="80" t="s">
        <v>536</v>
      </c>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c r="GP27" s="76"/>
      <c r="GQ27" s="76"/>
      <c r="GR27" s="76"/>
      <c r="GS27" s="76"/>
      <c r="GT27" s="76"/>
      <c r="GU27" s="76"/>
      <c r="GV27" s="76"/>
      <c r="GW27" s="76"/>
      <c r="GX27" s="76"/>
      <c r="GY27" s="76"/>
      <c r="GZ27" s="76"/>
      <c r="HA27" s="76"/>
      <c r="HB27" s="76"/>
      <c r="HC27" s="76"/>
      <c r="HD27" s="76"/>
      <c r="HE27" s="76"/>
      <c r="HF27" s="76"/>
      <c r="HG27" s="76"/>
      <c r="HH27" s="76"/>
      <c r="HI27" s="76"/>
      <c r="HJ27" s="76"/>
      <c r="HK27" s="76"/>
      <c r="HL27" s="76"/>
      <c r="HM27" s="76"/>
      <c r="HN27" s="76"/>
      <c r="HO27" s="76"/>
      <c r="HP27" s="76"/>
      <c r="HQ27" s="76"/>
      <c r="HR27" s="76"/>
      <c r="HS27" s="76"/>
      <c r="HT27" s="76"/>
      <c r="HU27" s="76"/>
      <c r="HV27" s="76"/>
      <c r="HW27" s="76"/>
      <c r="HX27" s="76"/>
      <c r="HY27" s="76"/>
      <c r="HZ27" s="76"/>
      <c r="IA27" s="76"/>
      <c r="IB27" s="76"/>
      <c r="IC27" s="76"/>
      <c r="ID27" s="76"/>
      <c r="IE27" s="76"/>
      <c r="IF27" s="76"/>
      <c r="IG27" s="76"/>
      <c r="IH27" s="76"/>
      <c r="II27" s="76"/>
      <c r="IJ27" s="76"/>
      <c r="IK27" s="76"/>
      <c r="IL27" s="76"/>
      <c r="IM27" s="76"/>
      <c r="IN27" s="76"/>
      <c r="IO27" s="76"/>
      <c r="IP27" s="76"/>
      <c r="IQ27" s="76"/>
      <c r="IR27" s="76"/>
      <c r="IS27" s="76"/>
      <c r="IT27" s="76"/>
      <c r="IU27" s="76"/>
      <c r="IV27" s="76"/>
    </row>
    <row r="28" spans="1:256" s="67" customFormat="1" ht="17" customHeight="1" x14ac:dyDescent="0.2">
      <c r="A28" s="74" t="s">
        <v>530</v>
      </c>
      <c r="B28" s="73"/>
      <c r="C28" s="77">
        <v>2073</v>
      </c>
      <c r="D28" s="75"/>
      <c r="E28" s="80" t="s">
        <v>536</v>
      </c>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c r="GH28" s="76"/>
      <c r="GI28" s="76"/>
      <c r="GJ28" s="76"/>
      <c r="GK28" s="76"/>
      <c r="GL28" s="76"/>
      <c r="GM28" s="76"/>
      <c r="GN28" s="76"/>
      <c r="GO28" s="76"/>
      <c r="GP28" s="76"/>
      <c r="GQ28" s="76"/>
      <c r="GR28" s="76"/>
      <c r="GS28" s="76"/>
      <c r="GT28" s="76"/>
      <c r="GU28" s="76"/>
      <c r="GV28" s="76"/>
      <c r="GW28" s="76"/>
      <c r="GX28" s="76"/>
      <c r="GY28" s="76"/>
      <c r="GZ28" s="76"/>
      <c r="HA28" s="76"/>
      <c r="HB28" s="76"/>
      <c r="HC28" s="76"/>
      <c r="HD28" s="76"/>
      <c r="HE28" s="76"/>
      <c r="HF28" s="76"/>
      <c r="HG28" s="76"/>
      <c r="HH28" s="76"/>
      <c r="HI28" s="76"/>
      <c r="HJ28" s="76"/>
      <c r="HK28" s="76"/>
      <c r="HL28" s="76"/>
      <c r="HM28" s="76"/>
      <c r="HN28" s="76"/>
      <c r="HO28" s="76"/>
      <c r="HP28" s="76"/>
      <c r="HQ28" s="76"/>
      <c r="HR28" s="76"/>
      <c r="HS28" s="76"/>
      <c r="HT28" s="76"/>
      <c r="HU28" s="76"/>
      <c r="HV28" s="76"/>
      <c r="HW28" s="76"/>
      <c r="HX28" s="76"/>
      <c r="HY28" s="76"/>
      <c r="HZ28" s="76"/>
      <c r="IA28" s="76"/>
      <c r="IB28" s="76"/>
      <c r="IC28" s="76"/>
      <c r="ID28" s="76"/>
      <c r="IE28" s="76"/>
      <c r="IF28" s="76"/>
      <c r="IG28" s="76"/>
      <c r="IH28" s="76"/>
      <c r="II28" s="76"/>
      <c r="IJ28" s="76"/>
      <c r="IK28" s="76"/>
      <c r="IL28" s="76"/>
      <c r="IM28" s="76"/>
      <c r="IN28" s="76"/>
      <c r="IO28" s="76"/>
      <c r="IP28" s="76"/>
      <c r="IQ28" s="76"/>
      <c r="IR28" s="76"/>
      <c r="IS28" s="76"/>
      <c r="IT28" s="76"/>
      <c r="IU28" s="76"/>
      <c r="IV28" s="76"/>
    </row>
    <row r="29" spans="1:256" s="67" customFormat="1" ht="17" customHeight="1" x14ac:dyDescent="0.2">
      <c r="A29" s="74" t="s">
        <v>532</v>
      </c>
      <c r="B29" s="73"/>
      <c r="C29" s="78">
        <v>71</v>
      </c>
      <c r="D29" s="75"/>
      <c r="E29" s="73"/>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c r="GI29" s="76"/>
      <c r="GJ29" s="76"/>
      <c r="GK29" s="76"/>
      <c r="GL29" s="76"/>
      <c r="GM29" s="76"/>
      <c r="GN29" s="76"/>
      <c r="GO29" s="76"/>
      <c r="GP29" s="76"/>
      <c r="GQ29" s="76"/>
      <c r="GR29" s="76"/>
      <c r="GS29" s="76"/>
      <c r="GT29" s="76"/>
      <c r="GU29" s="76"/>
      <c r="GV29" s="76"/>
      <c r="GW29" s="76"/>
      <c r="GX29" s="76"/>
      <c r="GY29" s="76"/>
      <c r="GZ29" s="76"/>
      <c r="HA29" s="76"/>
      <c r="HB29" s="76"/>
      <c r="HC29" s="76"/>
      <c r="HD29" s="76"/>
      <c r="HE29" s="76"/>
      <c r="HF29" s="76"/>
      <c r="HG29" s="76"/>
      <c r="HH29" s="76"/>
      <c r="HI29" s="76"/>
      <c r="HJ29" s="76"/>
      <c r="HK29" s="76"/>
      <c r="HL29" s="76"/>
      <c r="HM29" s="76"/>
      <c r="HN29" s="76"/>
      <c r="HO29" s="76"/>
      <c r="HP29" s="76"/>
      <c r="HQ29" s="76"/>
      <c r="HR29" s="76"/>
      <c r="HS29" s="76"/>
      <c r="HT29" s="76"/>
      <c r="HU29" s="76"/>
      <c r="HV29" s="76"/>
      <c r="HW29" s="76"/>
      <c r="HX29" s="76"/>
      <c r="HY29" s="76"/>
      <c r="HZ29" s="76"/>
      <c r="IA29" s="76"/>
      <c r="IB29" s="76"/>
      <c r="IC29" s="76"/>
      <c r="ID29" s="76"/>
      <c r="IE29" s="76"/>
      <c r="IF29" s="76"/>
      <c r="IG29" s="76"/>
      <c r="IH29" s="76"/>
      <c r="II29" s="76"/>
      <c r="IJ29" s="76"/>
      <c r="IK29" s="76"/>
      <c r="IL29" s="76"/>
      <c r="IM29" s="76"/>
      <c r="IN29" s="76"/>
      <c r="IO29" s="76"/>
      <c r="IP29" s="76"/>
      <c r="IQ29" s="76"/>
      <c r="IR29" s="76"/>
      <c r="IS29" s="76"/>
      <c r="IT29" s="76"/>
      <c r="IU29" s="76"/>
      <c r="IV29" s="76"/>
    </row>
    <row r="30" spans="1:256" s="67" customFormat="1" ht="17" customHeight="1" x14ac:dyDescent="0.2">
      <c r="A30" s="74" t="s">
        <v>533</v>
      </c>
      <c r="B30" s="73"/>
      <c r="C30" s="78">
        <v>-0.19434483890000001</v>
      </c>
      <c r="D30" s="79">
        <f>C30/D20</f>
        <v>-0.15183190539062499</v>
      </c>
      <c r="E30" s="73"/>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c r="IP30" s="76"/>
      <c r="IQ30" s="76"/>
      <c r="IR30" s="76"/>
      <c r="IS30" s="76"/>
      <c r="IT30" s="76"/>
      <c r="IU30" s="76"/>
      <c r="IV30" s="76"/>
    </row>
    <row r="31" spans="1:256" ht="15.75" customHeight="1" x14ac:dyDescent="0.2"/>
    <row r="32" spans="1:256"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5" right="0.75" top="1" bottom="1" header="0" footer="0"/>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000"/>
  <sheetViews>
    <sheetView workbookViewId="0"/>
  </sheetViews>
  <sheetFormatPr baseColWidth="10" defaultColWidth="11.1640625" defaultRowHeight="15" customHeight="1" x14ac:dyDescent="0.2"/>
  <cols>
    <col min="1" max="1" width="12.1640625" customWidth="1"/>
    <col min="2" max="2" width="15.1640625" customWidth="1"/>
    <col min="3" max="3" width="16" customWidth="1"/>
    <col min="4" max="4" width="10.5" customWidth="1"/>
    <col min="5" max="5" width="17.33203125" customWidth="1"/>
    <col min="6" max="26" width="10.5" customWidth="1"/>
  </cols>
  <sheetData>
    <row r="1" spans="1:8" ht="16" x14ac:dyDescent="0.2">
      <c r="F1" t="s">
        <v>80</v>
      </c>
      <c r="G1" t="s">
        <v>82</v>
      </c>
      <c r="H1" t="s">
        <v>83</v>
      </c>
    </row>
    <row r="2" spans="1:8" ht="26" x14ac:dyDescent="0.3">
      <c r="A2" s="12" t="s">
        <v>84</v>
      </c>
      <c r="C2" t="s">
        <v>91</v>
      </c>
      <c r="H2" t="s">
        <v>92</v>
      </c>
    </row>
    <row r="3" spans="1:8" ht="16" x14ac:dyDescent="0.2">
      <c r="B3" t="s">
        <v>80</v>
      </c>
      <c r="C3" t="s">
        <v>93</v>
      </c>
      <c r="D3" t="s">
        <v>83</v>
      </c>
    </row>
    <row r="4" spans="1:8" ht="16" x14ac:dyDescent="0.2">
      <c r="C4" t="s">
        <v>94</v>
      </c>
      <c r="D4" t="s">
        <v>92</v>
      </c>
    </row>
    <row r="6" spans="1:8" ht="16" x14ac:dyDescent="0.2">
      <c r="B6" t="s">
        <v>95</v>
      </c>
      <c r="C6">
        <v>825</v>
      </c>
      <c r="F6">
        <v>2001</v>
      </c>
      <c r="G6">
        <v>86.8</v>
      </c>
    </row>
    <row r="8" spans="1:8" ht="16" x14ac:dyDescent="0.2">
      <c r="D8" t="s">
        <v>96</v>
      </c>
    </row>
    <row r="9" spans="1:8" ht="16" x14ac:dyDescent="0.2">
      <c r="B9">
        <v>2005</v>
      </c>
      <c r="C9">
        <v>857</v>
      </c>
      <c r="D9" s="14">
        <f>(C9-C6)/C6</f>
        <v>3.8787878787878788E-2</v>
      </c>
      <c r="F9">
        <v>2005</v>
      </c>
      <c r="G9">
        <v>101.3</v>
      </c>
      <c r="H9" s="14">
        <f>(G9-G6)/G6</f>
        <v>0.16705069124423963</v>
      </c>
    </row>
    <row r="11" spans="1:8" ht="16" x14ac:dyDescent="0.2">
      <c r="D11" t="s">
        <v>105</v>
      </c>
    </row>
    <row r="12" spans="1:8" ht="16" x14ac:dyDescent="0.2">
      <c r="B12">
        <v>2009</v>
      </c>
      <c r="C12">
        <v>1020</v>
      </c>
      <c r="D12" s="14">
        <f>(C12-C6)/C6</f>
        <v>0.23636363636363636</v>
      </c>
      <c r="F12">
        <v>2009</v>
      </c>
      <c r="G12">
        <v>170.1</v>
      </c>
      <c r="H12" s="14">
        <f>(G12-G6)/G6</f>
        <v>0.95967741935483875</v>
      </c>
    </row>
    <row r="15" spans="1:8" ht="16" x14ac:dyDescent="0.2">
      <c r="B15">
        <v>2016</v>
      </c>
      <c r="C15">
        <v>793</v>
      </c>
      <c r="D15" s="14">
        <f>(C15-C12)/C12</f>
        <v>-0.22254901960784312</v>
      </c>
      <c r="F15">
        <v>2016</v>
      </c>
      <c r="G15">
        <v>146.9</v>
      </c>
      <c r="H15" s="14">
        <f>(G15-G12)/G12</f>
        <v>-0.13639035861258078</v>
      </c>
    </row>
    <row r="19" spans="1:5" ht="24" x14ac:dyDescent="0.3">
      <c r="A19" s="15" t="s">
        <v>106</v>
      </c>
    </row>
    <row r="20" spans="1:5" ht="26" x14ac:dyDescent="0.3">
      <c r="A20" s="12" t="s">
        <v>107</v>
      </c>
      <c r="C20" t="s">
        <v>108</v>
      </c>
    </row>
    <row r="21" spans="1:5" ht="15.75" customHeight="1" x14ac:dyDescent="0.2">
      <c r="D21" t="s">
        <v>109</v>
      </c>
      <c r="E21" s="16" t="s">
        <v>112</v>
      </c>
    </row>
    <row r="22" spans="1:5" ht="15.75" customHeight="1" x14ac:dyDescent="0.2">
      <c r="D22" t="s">
        <v>115</v>
      </c>
      <c r="E22" t="s">
        <v>116</v>
      </c>
    </row>
    <row r="23" spans="1:5" ht="15.75" customHeight="1" x14ac:dyDescent="0.2">
      <c r="B23" s="17"/>
      <c r="C23" s="17" t="s">
        <v>117</v>
      </c>
      <c r="D23" t="s">
        <v>118</v>
      </c>
      <c r="E23" t="s">
        <v>119</v>
      </c>
    </row>
    <row r="24" spans="1:5" ht="15.75" customHeight="1" x14ac:dyDescent="0.2">
      <c r="B24" s="17"/>
      <c r="C24" s="17"/>
      <c r="D24" t="s">
        <v>120</v>
      </c>
      <c r="E24" t="s">
        <v>117</v>
      </c>
    </row>
    <row r="25" spans="1:5" ht="15.75" customHeight="1" x14ac:dyDescent="0.2">
      <c r="B25" s="17"/>
      <c r="C25" s="17"/>
    </row>
    <row r="26" spans="1:5" ht="15.75" customHeight="1" x14ac:dyDescent="0.2">
      <c r="B26" s="17" t="s">
        <v>121</v>
      </c>
      <c r="C26" s="18">
        <v>3.7999999999999999E-2</v>
      </c>
      <c r="D26">
        <v>20</v>
      </c>
      <c r="E26">
        <f t="shared" ref="E26:E29" si="0">C26*D26</f>
        <v>0.76</v>
      </c>
    </row>
    <row r="27" spans="1:5" ht="15.75" customHeight="1" x14ac:dyDescent="0.2">
      <c r="B27" s="17" t="s">
        <v>122</v>
      </c>
      <c r="C27" s="18">
        <v>0.06</v>
      </c>
      <c r="D27">
        <v>7.3</v>
      </c>
      <c r="E27">
        <f t="shared" si="0"/>
        <v>0.438</v>
      </c>
    </row>
    <row r="28" spans="1:5" ht="15.75" customHeight="1" x14ac:dyDescent="0.2">
      <c r="B28" s="17" t="s">
        <v>89</v>
      </c>
      <c r="C28" s="18">
        <v>7.4999999999999997E-2</v>
      </c>
      <c r="D28">
        <v>4.5</v>
      </c>
      <c r="E28">
        <f t="shared" si="0"/>
        <v>0.33749999999999997</v>
      </c>
    </row>
    <row r="29" spans="1:5" ht="15.75" customHeight="1" x14ac:dyDescent="0.2">
      <c r="B29" s="17" t="s">
        <v>123</v>
      </c>
      <c r="C29" s="18">
        <v>3.7000000000000002E-3</v>
      </c>
      <c r="D29">
        <v>15</v>
      </c>
      <c r="E29">
        <f t="shared" si="0"/>
        <v>5.5500000000000001E-2</v>
      </c>
    </row>
    <row r="30" spans="1:5" ht="15.75" customHeight="1" x14ac:dyDescent="0.2"/>
    <row r="31" spans="1:5" ht="15.75" customHeight="1" x14ac:dyDescent="0.2">
      <c r="B31" s="17" t="s">
        <v>124</v>
      </c>
      <c r="C31" s="18">
        <f>SUM(C26:C29)</f>
        <v>0.1767</v>
      </c>
      <c r="D31" t="s">
        <v>5</v>
      </c>
      <c r="E31" s="20">
        <f>E26+E27+E28+E29-C31</f>
        <v>1.4142999999999999</v>
      </c>
    </row>
    <row r="32" spans="1:5" ht="15.75" customHeight="1" x14ac:dyDescent="0.2"/>
    <row r="33" spans="1:5" ht="15.75" customHeight="1" x14ac:dyDescent="0.2">
      <c r="D33" t="s">
        <v>127</v>
      </c>
    </row>
    <row r="34" spans="1:5" ht="15.75" customHeight="1" x14ac:dyDescent="0.2">
      <c r="D34" t="s">
        <v>128</v>
      </c>
    </row>
    <row r="35" spans="1:5" ht="15.75" customHeight="1" x14ac:dyDescent="0.3">
      <c r="A35" s="12" t="s">
        <v>129</v>
      </c>
    </row>
    <row r="36" spans="1:5" ht="15.75" customHeight="1" x14ac:dyDescent="0.3">
      <c r="A36" s="12" t="s">
        <v>130</v>
      </c>
    </row>
    <row r="37" spans="1:5" ht="15.75" customHeight="1" x14ac:dyDescent="0.2"/>
    <row r="38" spans="1:5" ht="15.75" customHeight="1" x14ac:dyDescent="0.2">
      <c r="A38" t="s">
        <v>131</v>
      </c>
      <c r="D38" t="s">
        <v>132</v>
      </c>
      <c r="E38" t="s">
        <v>133</v>
      </c>
    </row>
    <row r="39" spans="1:5" ht="15.75" customHeight="1" x14ac:dyDescent="0.2">
      <c r="A39" t="s">
        <v>134</v>
      </c>
      <c r="B39" t="s">
        <v>135</v>
      </c>
      <c r="C39" t="s">
        <v>136</v>
      </c>
      <c r="D39" t="s">
        <v>137</v>
      </c>
      <c r="E39" t="s">
        <v>138</v>
      </c>
    </row>
    <row r="40" spans="1:5" ht="15.75" customHeight="1" x14ac:dyDescent="0.2"/>
    <row r="41" spans="1:5" ht="15.75" customHeight="1" x14ac:dyDescent="0.2">
      <c r="A41">
        <v>2599.8000000000002</v>
      </c>
      <c r="B41">
        <f>A41*1000*1000000</f>
        <v>2599800000000</v>
      </c>
      <c r="C41">
        <f>B41/365</f>
        <v>7122739726.0273972</v>
      </c>
      <c r="D41" s="18">
        <f>E31</f>
        <v>1.4142999999999999</v>
      </c>
      <c r="E41" s="1">
        <f>D41/C41</f>
        <v>1.9856123547965226E-10</v>
      </c>
    </row>
    <row r="42" spans="1:5" ht="15.75" customHeight="1" x14ac:dyDescent="0.2">
      <c r="D42" s="18"/>
      <c r="E42" s="21"/>
    </row>
    <row r="43" spans="1:5" ht="15.75" customHeight="1" x14ac:dyDescent="0.2">
      <c r="D43" s="18"/>
      <c r="E43" s="21"/>
    </row>
    <row r="44" spans="1:5" ht="15.75" customHeight="1" x14ac:dyDescent="0.3">
      <c r="A44" s="12" t="s">
        <v>151</v>
      </c>
      <c r="D44" s="18"/>
      <c r="E44" s="21"/>
    </row>
    <row r="45" spans="1:5" ht="15.75" customHeight="1" x14ac:dyDescent="0.3">
      <c r="A45" s="12" t="s">
        <v>152</v>
      </c>
    </row>
    <row r="46" spans="1:5" ht="15.75" customHeight="1" x14ac:dyDescent="0.2"/>
    <row r="47" spans="1:5" ht="15.75" customHeight="1" x14ac:dyDescent="0.2"/>
    <row r="48" spans="1:5" ht="15.75" customHeight="1" x14ac:dyDescent="0.2">
      <c r="B48" t="s">
        <v>153</v>
      </c>
      <c r="E48" t="s">
        <v>154</v>
      </c>
    </row>
    <row r="49" spans="1:5" ht="15.75" customHeight="1" x14ac:dyDescent="0.2">
      <c r="B49" t="s">
        <v>155</v>
      </c>
      <c r="C49" t="s">
        <v>156</v>
      </c>
      <c r="E49" t="s">
        <v>157</v>
      </c>
    </row>
    <row r="50" spans="1:5" ht="15.75" customHeight="1" x14ac:dyDescent="0.2">
      <c r="C50" t="s">
        <v>158</v>
      </c>
      <c r="E50" t="s">
        <v>159</v>
      </c>
    </row>
    <row r="51" spans="1:5" ht="15.75" customHeight="1" x14ac:dyDescent="0.2">
      <c r="A51" s="21"/>
      <c r="B51" s="21">
        <f>E41*3.9/16.7</f>
        <v>4.6370587926385857E-11</v>
      </c>
      <c r="C51" s="17">
        <v>793000000</v>
      </c>
      <c r="D51" s="6">
        <f>C51*B51</f>
        <v>3.6771876225623987E-2</v>
      </c>
      <c r="E51">
        <f>1/D51</f>
        <v>27.194696127666269</v>
      </c>
    </row>
    <row r="52" spans="1:5" ht="15.75" customHeight="1" x14ac:dyDescent="0.2"/>
    <row r="53" spans="1:5" ht="15.75" customHeight="1" x14ac:dyDescent="0.2">
      <c r="B53" t="s">
        <v>163</v>
      </c>
    </row>
    <row r="54" spans="1:5" ht="15.75" customHeight="1" x14ac:dyDescent="0.2">
      <c r="B54" t="s">
        <v>164</v>
      </c>
    </row>
    <row r="55" spans="1:5" ht="15.75" customHeight="1" x14ac:dyDescent="0.2">
      <c r="B55" t="s">
        <v>165</v>
      </c>
    </row>
    <row r="56" spans="1:5" ht="15.75" customHeight="1" x14ac:dyDescent="0.2"/>
    <row r="57" spans="1:5" ht="15.75" customHeight="1" x14ac:dyDescent="0.2"/>
    <row r="58" spans="1:5" ht="15.75" customHeight="1" x14ac:dyDescent="0.2"/>
    <row r="59" spans="1:5" ht="15.75" customHeight="1" x14ac:dyDescent="0.25">
      <c r="A59" s="23" t="s">
        <v>166</v>
      </c>
    </row>
    <row r="60" spans="1:5" ht="15.75" customHeight="1" x14ac:dyDescent="0.25">
      <c r="A60" s="23"/>
    </row>
    <row r="61" spans="1:5" ht="15.75" customHeight="1" x14ac:dyDescent="0.2">
      <c r="C61" t="s">
        <v>167</v>
      </c>
      <c r="D61" t="s">
        <v>168</v>
      </c>
      <c r="E61" t="s">
        <v>169</v>
      </c>
    </row>
    <row r="62" spans="1:5" ht="15.75" customHeight="1" x14ac:dyDescent="0.2">
      <c r="B62" t="s">
        <v>170</v>
      </c>
      <c r="C62" t="s">
        <v>171</v>
      </c>
    </row>
    <row r="63" spans="1:5" ht="15.75" customHeight="1" x14ac:dyDescent="0.2"/>
    <row r="64" spans="1:5" ht="15.75" customHeight="1" x14ac:dyDescent="0.2">
      <c r="B64" s="17">
        <v>1000000000</v>
      </c>
      <c r="C64">
        <v>365</v>
      </c>
      <c r="D64">
        <v>0.04</v>
      </c>
      <c r="E64" s="17">
        <f>B64*C64*D64</f>
        <v>14600000000</v>
      </c>
    </row>
    <row r="65" spans="2:2" ht="15.75" customHeight="1" x14ac:dyDescent="0.2">
      <c r="B65" s="17"/>
    </row>
    <row r="66" spans="2:2" ht="15.75" customHeight="1" x14ac:dyDescent="0.2">
      <c r="B66" s="17"/>
    </row>
    <row r="67" spans="2:2" ht="15.75" customHeight="1" x14ac:dyDescent="0.2">
      <c r="B67" s="17"/>
    </row>
    <row r="68" spans="2:2" ht="15.75" customHeight="1" x14ac:dyDescent="0.2">
      <c r="B68" s="17"/>
    </row>
    <row r="69" spans="2:2" ht="15.75" customHeight="1" x14ac:dyDescent="0.2"/>
    <row r="70" spans="2:2" ht="15.75" customHeight="1" x14ac:dyDescent="0.2"/>
    <row r="71" spans="2:2" ht="15.75" customHeight="1" x14ac:dyDescent="0.2"/>
    <row r="72" spans="2:2" ht="15.75" customHeight="1" x14ac:dyDescent="0.2"/>
    <row r="73" spans="2:2" ht="15.75" customHeight="1" x14ac:dyDescent="0.2"/>
    <row r="74" spans="2:2" ht="15.75" customHeight="1" x14ac:dyDescent="0.2"/>
    <row r="75" spans="2:2" ht="15.75" customHeight="1" x14ac:dyDescent="0.2"/>
    <row r="76" spans="2:2" ht="15.75" customHeight="1" x14ac:dyDescent="0.2"/>
    <row r="77" spans="2:2" ht="15.75" customHeight="1" x14ac:dyDescent="0.2"/>
    <row r="78" spans="2:2" ht="15.75" customHeight="1" x14ac:dyDescent="0.2"/>
    <row r="79" spans="2:2" ht="15.75" customHeight="1" x14ac:dyDescent="0.2"/>
    <row r="80" spans="2:2"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5" right="0.75" top="1" bottom="1" header="0" footer="0"/>
  <pageSetup paperSize="9"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IV1000"/>
  <sheetViews>
    <sheetView topLeftCell="C7" zoomScale="200" zoomScaleNormal="200" zoomScalePageLayoutView="200" workbookViewId="0">
      <selection activeCell="N17" sqref="N17"/>
    </sheetView>
  </sheetViews>
  <sheetFormatPr baseColWidth="10" defaultColWidth="11.1640625" defaultRowHeight="15" customHeight="1" x14ac:dyDescent="0.2"/>
  <cols>
    <col min="1" max="1" width="52.5" customWidth="1"/>
    <col min="2" max="26" width="10.5" customWidth="1"/>
  </cols>
  <sheetData>
    <row r="3" spans="1:256" ht="16" x14ac:dyDescent="0.2">
      <c r="A3" t="s">
        <v>81</v>
      </c>
      <c r="B3">
        <v>680</v>
      </c>
    </row>
    <row r="5" spans="1:256" ht="16" x14ac:dyDescent="0.2">
      <c r="A5" t="s">
        <v>85</v>
      </c>
      <c r="B5">
        <v>43</v>
      </c>
    </row>
    <row r="7" spans="1:256" ht="16" x14ac:dyDescent="0.2">
      <c r="A7" t="s">
        <v>86</v>
      </c>
      <c r="B7">
        <f>(B3*B5)/100</f>
        <v>292.39999999999998</v>
      </c>
    </row>
    <row r="9" spans="1:256" ht="16" x14ac:dyDescent="0.2">
      <c r="A9" t="s">
        <v>97</v>
      </c>
      <c r="B9">
        <v>14</v>
      </c>
    </row>
    <row r="10" spans="1:256" ht="16" x14ac:dyDescent="0.2">
      <c r="A10" t="s">
        <v>98</v>
      </c>
      <c r="B10">
        <f>B9/365.33</f>
        <v>3.8321517532094271E-2</v>
      </c>
    </row>
    <row r="12" spans="1:256" ht="16" x14ac:dyDescent="0.2">
      <c r="A12" t="s">
        <v>104</v>
      </c>
      <c r="B12" s="6">
        <f>B10/B7</f>
        <v>1.3105854149143048E-4</v>
      </c>
    </row>
    <row r="14" spans="1:256" s="67" customFormat="1" ht="23" customHeight="1" x14ac:dyDescent="0.3">
      <c r="A14" s="85" t="s">
        <v>389</v>
      </c>
      <c r="B14" s="73"/>
      <c r="C14" s="73"/>
      <c r="D14" s="73"/>
      <c r="E14" s="73"/>
      <c r="F14" s="73"/>
      <c r="G14" s="73"/>
      <c r="H14" s="73"/>
      <c r="I14" s="73"/>
      <c r="J14" s="73"/>
      <c r="K14" s="73"/>
      <c r="L14" s="73"/>
      <c r="M14" s="73"/>
      <c r="N14" s="73"/>
      <c r="O14" s="73"/>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c r="IM14" s="76"/>
      <c r="IN14" s="76"/>
      <c r="IO14" s="76"/>
      <c r="IP14" s="76"/>
      <c r="IQ14" s="76"/>
      <c r="IR14" s="76"/>
      <c r="IS14" s="76"/>
      <c r="IT14" s="76"/>
      <c r="IU14" s="76"/>
      <c r="IV14" s="76"/>
    </row>
    <row r="15" spans="1:256" s="67" customFormat="1" ht="207.75" customHeight="1" x14ac:dyDescent="0.2">
      <c r="A15" s="82" t="s">
        <v>550</v>
      </c>
      <c r="B15" s="82" t="s">
        <v>551</v>
      </c>
      <c r="C15" s="82" t="s">
        <v>552</v>
      </c>
      <c r="D15" s="82" t="s">
        <v>553</v>
      </c>
      <c r="E15" s="82" t="s">
        <v>554</v>
      </c>
      <c r="F15" s="82" t="s">
        <v>555</v>
      </c>
      <c r="G15" s="82" t="s">
        <v>556</v>
      </c>
      <c r="H15" s="82" t="s">
        <v>557</v>
      </c>
      <c r="I15" s="82" t="s">
        <v>558</v>
      </c>
      <c r="J15" s="82" t="s">
        <v>559</v>
      </c>
      <c r="K15" s="82" t="s">
        <v>560</v>
      </c>
      <c r="L15" s="82" t="s">
        <v>561</v>
      </c>
      <c r="M15" s="82" t="s">
        <v>562</v>
      </c>
      <c r="N15" s="82" t="s">
        <v>563</v>
      </c>
      <c r="O15" s="82" t="s">
        <v>564</v>
      </c>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c r="IM15" s="76"/>
      <c r="IN15" s="76"/>
      <c r="IO15" s="76"/>
      <c r="IP15" s="76"/>
      <c r="IQ15" s="76"/>
      <c r="IR15" s="76"/>
      <c r="IS15" s="76"/>
      <c r="IT15" s="76"/>
      <c r="IU15" s="76"/>
      <c r="IV15" s="76"/>
    </row>
    <row r="16" spans="1:256" s="67" customFormat="1" ht="17" customHeight="1" x14ac:dyDescent="0.2">
      <c r="A16" s="78">
        <v>80.38</v>
      </c>
      <c r="B16" s="78">
        <v>59.4</v>
      </c>
      <c r="C16" s="78">
        <v>137.36842110000001</v>
      </c>
      <c r="D16" s="78">
        <v>11</v>
      </c>
      <c r="E16" s="78">
        <v>279.76</v>
      </c>
      <c r="F16" s="78">
        <v>8512</v>
      </c>
      <c r="G16" s="78">
        <v>3.286654135</v>
      </c>
      <c r="H16" s="78">
        <v>30.4260795</v>
      </c>
      <c r="I16" s="78">
        <v>2.606316729</v>
      </c>
      <c r="J16" s="73"/>
      <c r="K16" s="78">
        <v>7.3590119420000004</v>
      </c>
      <c r="L16" s="78">
        <v>9.965328671</v>
      </c>
      <c r="M16" s="78">
        <v>0.1256661875</v>
      </c>
      <c r="N16" s="86">
        <v>3.4397992919999999E-4</v>
      </c>
      <c r="O16" s="78">
        <f>B12+N16</f>
        <v>4.7503847069143049E-4</v>
      </c>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c r="IM16" s="76"/>
      <c r="IN16" s="76"/>
      <c r="IO16" s="76"/>
      <c r="IP16" s="76"/>
      <c r="IQ16" s="76"/>
      <c r="IR16" s="76"/>
      <c r="IS16" s="76"/>
      <c r="IT16" s="76"/>
      <c r="IU16" s="76"/>
      <c r="IV16" s="76"/>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5" right="0.75" top="1" bottom="1" header="0" footer="0"/>
  <pageSetup paperSize="9"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6"/>
  <sheetViews>
    <sheetView zoomScale="200" zoomScaleNormal="200" zoomScalePageLayoutView="200" workbookViewId="0">
      <selection sqref="A1:D6"/>
    </sheetView>
  </sheetViews>
  <sheetFormatPr baseColWidth="10" defaultRowHeight="16" x14ac:dyDescent="0.2"/>
  <sheetData>
    <row r="1" spans="1:3" x14ac:dyDescent="0.2">
      <c r="B1" t="s">
        <v>643</v>
      </c>
    </row>
    <row r="2" spans="1:3" x14ac:dyDescent="0.2">
      <c r="A2" t="s">
        <v>641</v>
      </c>
      <c r="C2" t="s">
        <v>645</v>
      </c>
    </row>
    <row r="3" spans="1:3" x14ac:dyDescent="0.2">
      <c r="A3" t="s">
        <v>137</v>
      </c>
      <c r="B3" t="s">
        <v>229</v>
      </c>
    </row>
    <row r="4" spans="1:3" x14ac:dyDescent="0.2">
      <c r="A4">
        <f>OECD!C6</f>
        <v>0.06</v>
      </c>
      <c r="B4">
        <v>65.31</v>
      </c>
      <c r="C4">
        <f>A4/B4</f>
        <v>9.1869545245751023E-4</v>
      </c>
    </row>
    <row r="5" spans="1:3" x14ac:dyDescent="0.2">
      <c r="B5" t="s">
        <v>646</v>
      </c>
    </row>
    <row r="6" spans="1:3" x14ac:dyDescent="0.2">
      <c r="B6" t="s">
        <v>644</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8"/>
  <sheetViews>
    <sheetView zoomScale="200" zoomScaleNormal="200" zoomScalePageLayoutView="200" workbookViewId="0">
      <selection activeCell="C3" sqref="C3"/>
    </sheetView>
  </sheetViews>
  <sheetFormatPr baseColWidth="10" defaultRowHeight="16" x14ac:dyDescent="0.2"/>
  <sheetData>
    <row r="1" spans="1:4" x14ac:dyDescent="0.2">
      <c r="B1" t="s">
        <v>877</v>
      </c>
    </row>
    <row r="2" spans="1:4" x14ac:dyDescent="0.2">
      <c r="A2" t="s">
        <v>641</v>
      </c>
      <c r="C2" t="s">
        <v>888</v>
      </c>
    </row>
    <row r="3" spans="1:4" x14ac:dyDescent="0.2">
      <c r="A3" t="s">
        <v>137</v>
      </c>
      <c r="B3" t="s">
        <v>229</v>
      </c>
    </row>
    <row r="4" spans="1:4" x14ac:dyDescent="0.2">
      <c r="A4">
        <f>OECD!C8</f>
        <v>3.7000000000000002E-3</v>
      </c>
      <c r="B4">
        <v>26</v>
      </c>
      <c r="C4">
        <f>A4/B4</f>
        <v>1.4230769230769231E-4</v>
      </c>
    </row>
    <row r="5" spans="1:4" x14ac:dyDescent="0.2">
      <c r="B5" t="s">
        <v>646</v>
      </c>
    </row>
    <row r="6" spans="1:4" x14ac:dyDescent="0.2">
      <c r="B6" t="s">
        <v>644</v>
      </c>
    </row>
    <row r="9" spans="1:4" x14ac:dyDescent="0.2">
      <c r="A9" t="s">
        <v>3</v>
      </c>
      <c r="C9" t="s">
        <v>882</v>
      </c>
    </row>
    <row r="11" spans="1:4" x14ac:dyDescent="0.2">
      <c r="A11">
        <v>34</v>
      </c>
      <c r="B11" t="s">
        <v>878</v>
      </c>
      <c r="C11">
        <v>100</v>
      </c>
      <c r="D11" t="s">
        <v>879</v>
      </c>
    </row>
    <row r="13" spans="1:4" x14ac:dyDescent="0.2">
      <c r="A13" t="s">
        <v>880</v>
      </c>
      <c r="B13" t="s">
        <v>881</v>
      </c>
    </row>
    <row r="14" spans="1:4" x14ac:dyDescent="0.2">
      <c r="A14" t="s">
        <v>883</v>
      </c>
      <c r="B14" t="s">
        <v>884</v>
      </c>
    </row>
    <row r="16" spans="1:4" x14ac:dyDescent="0.2">
      <c r="A16" t="s">
        <v>885</v>
      </c>
    </row>
    <row r="17" spans="1:2" x14ac:dyDescent="0.2">
      <c r="A17">
        <f>100*0.5</f>
        <v>50</v>
      </c>
      <c r="B17" t="s">
        <v>886</v>
      </c>
    </row>
    <row r="18" spans="1:2" x14ac:dyDescent="0.2">
      <c r="A18">
        <f>A17*0.52</f>
        <v>26</v>
      </c>
      <c r="B18" t="s">
        <v>887</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31</vt:i4>
      </vt:variant>
    </vt:vector>
  </HeadingPairs>
  <TitlesOfParts>
    <vt:vector size="31" baseType="lpstr">
      <vt:lpstr>Summary sheet</vt:lpstr>
      <vt:lpstr>1 Longevity</vt:lpstr>
      <vt:lpstr>Cancer</vt:lpstr>
      <vt:lpstr>Diabetes</vt:lpstr>
      <vt:lpstr>2 Saving Money</vt:lpstr>
      <vt:lpstr>3 Malnutrition</vt:lpstr>
      <vt:lpstr>4 Cows</vt:lpstr>
      <vt:lpstr>4.5 Pigs</vt:lpstr>
      <vt:lpstr>4.7 Lamb</vt:lpstr>
      <vt:lpstr>5 Chickens</vt:lpstr>
      <vt:lpstr>6  Fish</vt:lpstr>
      <vt:lpstr>7 Forest</vt:lpstr>
      <vt:lpstr>Population</vt:lpstr>
      <vt:lpstr>8 Greenhouse</vt:lpstr>
      <vt:lpstr>9 water</vt:lpstr>
      <vt:lpstr>OECD</vt:lpstr>
      <vt:lpstr>10 Marine reserve</vt:lpstr>
      <vt:lpstr>Cost per MFD</vt:lpstr>
      <vt:lpstr>INspired MFD</vt:lpstr>
      <vt:lpstr>Halt increase</vt:lpstr>
      <vt:lpstr>Annual increase</vt:lpstr>
      <vt:lpstr>15Y Quest</vt:lpstr>
      <vt:lpstr>20Y Quest</vt:lpstr>
      <vt:lpstr>Dairy</vt:lpstr>
      <vt:lpstr>Sheet3</vt:lpstr>
      <vt:lpstr>Everyday Heroes</vt:lpstr>
      <vt:lpstr>2022 Target</vt:lpstr>
      <vt:lpstr>COVID</vt:lpstr>
      <vt:lpstr>2020 Impact$ &amp; hours</vt:lpstr>
      <vt:lpstr>UK</vt:lpstr>
      <vt:lpstr>Increase in MFD to hit target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2019-07-30T23:11:33Z</dcterms:created>
  <dcterms:modified xsi:type="dcterms:W3CDTF">2022-04-29T04:24:40Z</dcterms:modified>
</cp:coreProperties>
</file>